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25" activeTab="3"/>
  </bookViews>
  <sheets>
    <sheet name="Standard Atmosphere US" sheetId="1" r:id="rId1"/>
    <sheet name="Standard Atmosphere ICAO" sheetId="2" r:id="rId2"/>
    <sheet name="Components" sheetId="3" r:id="rId3"/>
    <sheet name="WaterVapor" sheetId="4" r:id="rId4"/>
    <sheet name="Atmospheric Pressure" sheetId="5" r:id="rId5"/>
    <sheet name="Pressure--Charts &amp; Key Numbers" sheetId="6" r:id="rId6"/>
    <sheet name="Pressure to Altitude(FL) X-walk" sheetId="7" r:id="rId7"/>
    <sheet name="F1 Feet to mB" sheetId="8" r:id="rId8"/>
    <sheet name="F1 Meters to mB" sheetId="9" r:id="rId9"/>
    <sheet name="Conversions" sheetId="10" r:id="rId10"/>
    <sheet name="WORK ONLY Atmospheric Pressure" sheetId="11" r:id="rId11"/>
  </sheets>
  <definedNames/>
  <calcPr fullCalcOnLoad="1"/>
</workbook>
</file>

<file path=xl/sharedStrings.xml><?xml version="1.0" encoding="utf-8"?>
<sst xmlns="http://schemas.openxmlformats.org/spreadsheetml/2006/main" count="849" uniqueCount="415">
  <si>
    <t>Standard Atmosphere</t>
  </si>
  <si>
    <t>Definition of Layers in Model:</t>
  </si>
  <si>
    <t>U.S. Standard Atmosphere: 1976 Version</t>
  </si>
  <si>
    <t>Imperial/Metric Crosswalk</t>
  </si>
  <si>
    <t>Base Height(*)</t>
  </si>
  <si>
    <t>Base
Pressure</t>
  </si>
  <si>
    <t>Base Temperature</t>
  </si>
  <si>
    <t>Lapse Rate(**)</t>
  </si>
  <si>
    <t>Geopotential</t>
  </si>
  <si>
    <t>Geometric</t>
  </si>
  <si>
    <t>English</t>
  </si>
  <si>
    <t>Layer</t>
  </si>
  <si>
    <t>Label</t>
  </si>
  <si>
    <t>Range</t>
  </si>
  <si>
    <t>(°F/1000 ft)</t>
  </si>
  <si>
    <t>(°C/1000 ft)</t>
  </si>
  <si>
    <t>Troposphere</t>
  </si>
  <si>
    <t>Tropopause</t>
  </si>
  <si>
    <t>Stratosphere</t>
  </si>
  <si>
    <t>Stratopause</t>
  </si>
  <si>
    <t>Mesosphere</t>
  </si>
  <si>
    <t>Mesopause</t>
  </si>
  <si>
    <t>Metric</t>
  </si>
  <si>
    <t>(*)</t>
  </si>
  <si>
    <t>Geopentential height is calculated from a mathematical model in which the acceleration due to gravity is assumed constant. This is the general measure in use.  The actual (physical) altitude is closer to the geometric, which results from the (more accurate) assumption that gravity obeys an inverse square law.</t>
  </si>
  <si>
    <t>(**)</t>
  </si>
  <si>
    <t>http://web.me.com/gyatt/atmosculator/The%20Standard%20Atmosphere.html</t>
  </si>
  <si>
    <t>Retrieved:</t>
  </si>
  <si>
    <t>http://en.wikipedia.org/wiki/U.S._Standard_Atmosphere</t>
  </si>
  <si>
    <t>http://en.wikipedia.org/wiki/Atmospheric_pressure</t>
  </si>
  <si>
    <t>http://en.wikipedia.org/wiki/International_Standard_Atmosphere</t>
  </si>
  <si>
    <t>http://en.wikipedia.org/wiki/Atmospheric_models</t>
  </si>
  <si>
    <t>Pressure Detail</t>
  </si>
  <si>
    <t xml:space="preserve">Height Above Sea Level
</t>
  </si>
  <si>
    <t>Static Pressure</t>
  </si>
  <si>
    <t>(base of layer)</t>
  </si>
  <si>
    <t>(ft)</t>
  </si>
  <si>
    <t>(m)</t>
  </si>
  <si>
    <t>(inHg)</t>
  </si>
  <si>
    <t>(pascals)</t>
  </si>
  <si>
    <t>(mB)</t>
  </si>
  <si>
    <t>Temperature Detail</t>
  </si>
  <si>
    <t xml:space="preserve">Standard Temperature
</t>
  </si>
  <si>
    <t>(K)</t>
  </si>
  <si>
    <t>Temperature Lapse Rate Detail</t>
  </si>
  <si>
    <t>Height Above Sea Level</t>
  </si>
  <si>
    <t>Temperature Lapse Rate(*)</t>
  </si>
  <si>
    <t>(°C/ft)</t>
  </si>
  <si>
    <t>(°C/m)</t>
  </si>
  <si>
    <t>Type</t>
  </si>
  <si>
    <t>Isothermal</t>
  </si>
  <si>
    <t>Inversion</t>
  </si>
  <si>
    <t>Atmospheric Fractions</t>
  </si>
  <si>
    <t>fraction of 1 atm</t>
  </si>
  <si>
    <t>average altitude</t>
  </si>
  <si>
    <t>mB</t>
  </si>
  <si>
    <t>(approx)</t>
  </si>
  <si>
    <t>1/2</t>
  </si>
  <si>
    <t>1/3</t>
  </si>
  <si>
    <t>1/10</t>
  </si>
  <si>
    <t>1/100</t>
  </si>
  <si>
    <t>1/1000</t>
  </si>
  <si>
    <t>1/10000</t>
  </si>
  <si>
    <t>1/100000</t>
  </si>
  <si>
    <t>ICAO Standard Atmosphere</t>
  </si>
  <si>
    <t>Base Height</t>
  </si>
  <si>
    <t>Temperature</t>
  </si>
  <si>
    <t>Pressure</t>
  </si>
  <si>
    <t xml:space="preserve">Lapse Rate </t>
  </si>
  <si>
    <t>Notes</t>
  </si>
  <si>
    <t>km</t>
  </si>
  <si>
    <t>ft</t>
  </si>
  <si>
    <t>°C</t>
  </si>
  <si>
    <t>Deg C</t>
  </si>
  <si>
    <t>Deg F</t>
  </si>
  <si>
    <t>0 (MSL)</t>
  </si>
  <si>
    <t>Tropospheric</t>
  </si>
  <si>
    <t xml:space="preserve">11 km </t>
  </si>
  <si>
    <t>36,000 ft</t>
  </si>
  <si>
    <t>Stratospheric</t>
  </si>
  <si>
    <t xml:space="preserve">20 km </t>
  </si>
  <si>
    <t>65,000 ft</t>
  </si>
  <si>
    <t xml:space="preserve">32 km </t>
  </si>
  <si>
    <t>105,000 ft</t>
  </si>
  <si>
    <t>(1)</t>
  </si>
  <si>
    <t>Isothermal layer: Standard Stratosphere Temperature: -56.5° C</t>
  </si>
  <si>
    <t>Atmospheric Composition</t>
  </si>
  <si>
    <t>Dry atmosphere:</t>
  </si>
  <si>
    <t>Gas</t>
  </si>
  <si>
    <t>Volume</t>
  </si>
  <si>
    <t>Percent</t>
  </si>
  <si>
    <t>Nitrogen (N2)</t>
  </si>
  <si>
    <t>Oxygen (O2)</t>
  </si>
  <si>
    <t>Argon (Ar)</t>
  </si>
  <si>
    <t>Carbon dioxide (CO2)</t>
  </si>
  <si>
    <t>Neon (Ne)</t>
  </si>
  <si>
    <t>Helium (He)</t>
  </si>
  <si>
    <t>Methane (CH4)</t>
  </si>
  <si>
    <t>Krypton (Kr)</t>
  </si>
  <si>
    <t>Hydrogen (H2)</t>
  </si>
  <si>
    <t>Nitrous oxide (N2O)</t>
  </si>
  <si>
    <t>Carbon monoxide (CO)</t>
  </si>
  <si>
    <t>Xenon (Xe)</t>
  </si>
  <si>
    <t>Nitrogen dioxide (NO2)</t>
  </si>
  <si>
    <t>Iodine (I)</t>
  </si>
  <si>
    <t>Ammonia (NH3)</t>
  </si>
  <si>
    <t>trace</t>
  </si>
  <si>
    <t>Ozone (O3)</t>
  </si>
  <si>
    <r>
      <t>0% to 7 × 10</t>
    </r>
    <r>
      <rPr>
        <vertAlign val="superscript"/>
        <sz val="11"/>
        <color indexed="8"/>
        <rFont val="Calibri"/>
        <family val="2"/>
      </rPr>
      <t>−6</t>
    </r>
    <r>
      <rPr>
        <sz val="11"/>
        <color indexed="8"/>
        <rFont val="Calibri"/>
        <family val="2"/>
      </rPr>
      <t>%</t>
    </r>
  </si>
  <si>
    <t>0.0 to 0.07 ppmv</t>
  </si>
  <si>
    <t>Not included in above dry atmosphere:</t>
  </si>
  <si>
    <t>Water vapor (H2O)</t>
  </si>
  <si>
    <t>~0.40% over full atmosphere, typically 1%-4% at surface</t>
  </si>
  <si>
    <t xml:space="preserve">Atmospheric Water (Water Vapor) Saturation Pressure and </t>
  </si>
  <si>
    <t>Partial Pressure Percentage for 100% Relative Humidity</t>
  </si>
  <si>
    <r>
      <t>p</t>
    </r>
    <r>
      <rPr>
        <b/>
        <i/>
        <vertAlign val="subscript"/>
        <sz val="11"/>
        <color indexed="8"/>
        <rFont val="Arial"/>
        <family val="2"/>
      </rPr>
      <t>ws</t>
    </r>
    <r>
      <rPr>
        <b/>
        <i/>
        <sz val="11"/>
        <color indexed="8"/>
        <rFont val="Arial"/>
        <family val="2"/>
      </rPr>
      <t xml:space="preserve"> = e</t>
    </r>
    <r>
      <rPr>
        <b/>
        <i/>
        <vertAlign val="superscript"/>
        <sz val="11"/>
        <color indexed="8"/>
        <rFont val="Arial"/>
        <family val="2"/>
      </rPr>
      <t>(77.3450 + 0.0057 T - 7,235 / T)</t>
    </r>
    <r>
      <rPr>
        <b/>
        <i/>
        <sz val="11"/>
        <color indexed="8"/>
        <rFont val="Arial"/>
        <family val="2"/>
      </rPr>
      <t xml:space="preserve"> / T</t>
    </r>
    <r>
      <rPr>
        <b/>
        <i/>
        <vertAlign val="superscript"/>
        <sz val="11"/>
        <color indexed="8"/>
        <rFont val="Arial"/>
        <family val="2"/>
      </rPr>
      <t>8.2</t>
    </r>
    <r>
      <rPr>
        <b/>
        <i/>
        <sz val="11"/>
        <color indexed="8"/>
        <rFont val="Arial"/>
        <family val="2"/>
      </rPr>
      <t>   </t>
    </r>
  </si>
  <si>
    <t>where</t>
  </si>
  <si>
    <r>
      <t>p</t>
    </r>
    <r>
      <rPr>
        <i/>
        <vertAlign val="subscript"/>
        <sz val="11"/>
        <color indexed="8"/>
        <rFont val="Calibri"/>
        <family val="2"/>
      </rPr>
      <t>ws</t>
    </r>
    <r>
      <rPr>
        <i/>
        <sz val="11"/>
        <color indexed="8"/>
        <rFont val="Calibri"/>
        <family val="2"/>
      </rPr>
      <t xml:space="preserve"> = water vapor saturation pressure (Pa)</t>
    </r>
  </si>
  <si>
    <t>T = dry bulb temperature of the moist air (K)</t>
  </si>
  <si>
    <t>Approxamate range of 0 to 100 deg. F highlighted.</t>
  </si>
  <si>
    <t>Freezing point of water and standard temperature in bold.</t>
  </si>
  <si>
    <t>Reference Kelvin/Celsius</t>
  </si>
  <si>
    <t>Reference Farenheit</t>
  </si>
  <si>
    <r>
      <t>H</t>
    </r>
    <r>
      <rPr>
        <b/>
        <sz val="8"/>
        <color indexed="8"/>
        <rFont val="Calibri"/>
        <family val="2"/>
      </rPr>
      <t>2</t>
    </r>
    <r>
      <rPr>
        <b/>
        <sz val="11"/>
        <color indexed="8"/>
        <rFont val="Calibri"/>
        <family val="2"/>
      </rPr>
      <t>0
PP%</t>
    </r>
  </si>
  <si>
    <t>K</t>
  </si>
  <si>
    <t>C</t>
  </si>
  <si>
    <t>F</t>
  </si>
  <si>
    <t>Pa</t>
  </si>
  <si>
    <t>psi</t>
  </si>
  <si>
    <t>Units Conversions</t>
  </si>
  <si>
    <t xml:space="preserve"> pounds/square inch (psi) </t>
  </si>
  <si>
    <t>Sea Level Air Pressure (psi) =</t>
  </si>
  <si>
    <t>psi/pascal (Pa) =</t>
  </si>
  <si>
    <t>Sea Level Air Pressure (Pa) =</t>
  </si>
  <si>
    <t>Sea Level Air Pressure (mB) =</t>
  </si>
  <si>
    <t>Parse the pressure equation for constants</t>
  </si>
  <si>
    <t>start</t>
  </si>
  <si>
    <t>stop</t>
  </si>
  <si>
    <t>Temperature Conversion Formulas</t>
  </si>
  <si>
    <t>C = (5/9)(F - 32)</t>
  </si>
  <si>
    <r>
      <t>C= ((5/9)</t>
    </r>
    <r>
      <rPr>
        <sz val="8"/>
        <color indexed="8"/>
        <rFont val="Courior new"/>
        <family val="0"/>
      </rPr>
      <t>(F + 40)) - 40</t>
    </r>
  </si>
  <si>
    <t>F = 9/5*C + 32</t>
  </si>
  <si>
    <t>F= ((9/5)(C + 40)) - 40</t>
  </si>
  <si>
    <t>F = ((K - 273.15) * 9/5) + 32</t>
  </si>
  <si>
    <t xml:space="preserve">C = K - 273.15 </t>
  </si>
  <si>
    <t>K = C + 273.15</t>
  </si>
  <si>
    <t>Atmospheric Pressure</t>
  </si>
  <si>
    <t>Altitude Above Sea Level</t>
  </si>
  <si>
    <t>Absolute Barometer</t>
  </si>
  <si>
    <t>Absolute Atmospheric Pressure</t>
  </si>
  <si>
    <t>ATA</t>
  </si>
  <si>
    <t>feet</t>
  </si>
  <si>
    <t>meters</t>
  </si>
  <si>
    <t>in Hg</t>
  </si>
  <si>
    <t>mm Hg</t>
  </si>
  <si>
    <t>psia</t>
  </si>
  <si>
    <r>
      <t>kg/cm</t>
    </r>
    <r>
      <rPr>
        <i/>
        <vertAlign val="superscript"/>
        <sz val="8.8"/>
        <color indexed="8"/>
        <rFont val="Arial"/>
        <family val="2"/>
      </rPr>
      <t>2</t>
    </r>
  </si>
  <si>
    <t>kPa</t>
  </si>
  <si>
    <t>Hyperbaric chambers for DCI operate at a standard pressure of 2.8 ATA (equivalent to 60 fsw); for recovery from deep dive acciedents pressures up to 8.0 ATA may be utilized (equivalent to 230 fsw).</t>
  </si>
  <si>
    <t>…</t>
  </si>
  <si>
    <t>&lt;&lt;</t>
  </si>
  <si>
    <r>
      <t xml:space="preserve">(U.S. Navy Supervisor of Diving (2008). </t>
    </r>
    <r>
      <rPr>
        <i/>
        <sz val="8"/>
        <color indexed="8"/>
        <rFont val="Calibri"/>
        <family val="2"/>
      </rPr>
      <t>U.S. Navy Diving Manual</t>
    </r>
    <r>
      <rPr>
        <sz val="8"/>
        <color indexed="8"/>
        <rFont val="Calibri"/>
        <family val="2"/>
      </rPr>
      <t>. SS521-AG-PRO-010, revision 6. U.S. Naval Sea Systems Command. pp. 37–49. http://supsalv.org/pdf/DiveMan_rev6.pdf. Retrieved 2009-06-29. )</t>
    </r>
  </si>
  <si>
    <t>(http://www.rescuediver.org/med/phys.htm)</t>
  </si>
  <si>
    <r>
      <t>0</t>
    </r>
    <r>
      <rPr>
        <b/>
        <vertAlign val="superscript"/>
        <sz val="8.8"/>
        <color indexed="8"/>
        <rFont val="Arial"/>
        <family val="2"/>
      </rPr>
      <t>(1)</t>
    </r>
  </si>
  <si>
    <t xml:space="preserve">` </t>
  </si>
  <si>
    <t>(1) Sea Level at standard conditions (1013.25 mB, 15 deg C)</t>
  </si>
  <si>
    <t>Below Sea-level data:</t>
  </si>
  <si>
    <t>Above Sea-level data:</t>
  </si>
  <si>
    <t>Standard atmosphere formulas: see worksheet "WORK Atmospheric Pressure"</t>
  </si>
  <si>
    <t>Standard Crosswalk, by Feet Above Sea Level</t>
  </si>
  <si>
    <t>By Pressure</t>
  </si>
  <si>
    <t>By Altitude</t>
  </si>
  <si>
    <t>PP O2 =</t>
  </si>
  <si>
    <t>Level</t>
  </si>
  <si>
    <t>Altitude</t>
  </si>
  <si>
    <t>meter</t>
  </si>
  <si>
    <t>inches Hg</t>
  </si>
  <si>
    <t>feet/FL</t>
  </si>
  <si>
    <t>5,000 ft</t>
  </si>
  <si>
    <t>10,000 ft</t>
  </si>
  <si>
    <t>(3)</t>
  </si>
  <si>
    <t>18,000 ft</t>
  </si>
  <si>
    <t>FL 240</t>
  </si>
  <si>
    <t>FL 300</t>
  </si>
  <si>
    <t>FL 340</t>
  </si>
  <si>
    <t>FL 390</t>
  </si>
  <si>
    <t>(2)</t>
  </si>
  <si>
    <t>FL 450</t>
  </si>
  <si>
    <t>FL 630</t>
  </si>
  <si>
    <t>http://weather.noaa.gov/fax/nwsfax.html</t>
  </si>
  <si>
    <t>http://weather.noaa.gov/fax/gtsstd.shtml</t>
  </si>
  <si>
    <t>http://weather.noaa.gov/fax/wafsfax.shtml</t>
  </si>
  <si>
    <t>Pressure-to-Altitude/Flight Level Crosswalk</t>
  </si>
  <si>
    <t>Table One: By Pressure</t>
  </si>
  <si>
    <t xml:space="preserve">Pressure </t>
  </si>
  <si>
    <t xml:space="preserve">feet </t>
  </si>
  <si>
    <t>FL</t>
  </si>
  <si>
    <t>decameters</t>
  </si>
  <si>
    <t>kg/cm2</t>
  </si>
  <si>
    <t>360 ft</t>
  </si>
  <si>
    <t>FL 180</t>
  </si>
  <si>
    <t>FL 530</t>
  </si>
  <si>
    <t>Table Two: By Altitude/Flight Level</t>
  </si>
  <si>
    <t>---</t>
  </si>
  <si>
    <t>Feet to psi/mB reference</t>
  </si>
  <si>
    <r>
      <t>O</t>
    </r>
    <r>
      <rPr>
        <sz val="9"/>
        <color indexed="8"/>
        <rFont val="Calibri"/>
        <family val="2"/>
      </rPr>
      <t xml:space="preserve">2 </t>
    </r>
    <r>
      <rPr>
        <sz val="11"/>
        <color indexed="8"/>
        <rFont val="Calibri"/>
        <family val="2"/>
      </rPr>
      <t>Pressure</t>
    </r>
  </si>
  <si>
    <t>Constants</t>
  </si>
  <si>
    <t>O2 PP</t>
  </si>
  <si>
    <t>Meters to psi/mB reference</t>
  </si>
  <si>
    <t>CONVERSIONS USED IN THESE TABLES</t>
  </si>
  <si>
    <t>Conversion Utility</t>
  </si>
  <si>
    <t>Temperature Formulas</t>
  </si>
  <si>
    <t>Enter</t>
  </si>
  <si>
    <t>Output</t>
  </si>
  <si>
    <t>from</t>
  </si>
  <si>
    <t>to</t>
  </si>
  <si>
    <t>Alternate Formula (identical results)</t>
  </si>
  <si>
    <t>C =</t>
  </si>
  <si>
    <t>(5/9)(F - 32)</t>
  </si>
  <si>
    <t>C=</t>
  </si>
  <si>
    <t xml:space="preserve"> ((5/9)(F + 40)) - 40</t>
  </si>
  <si>
    <t xml:space="preserve">F = </t>
  </si>
  <si>
    <t>((9/5)C) + 32</t>
  </si>
  <si>
    <t>F=</t>
  </si>
  <si>
    <t>((9/5)(C + 40)) - 40</t>
  </si>
  <si>
    <t>F =</t>
  </si>
  <si>
    <t xml:space="preserve"> ((K - 273.15) * 9/5) + 32</t>
  </si>
  <si>
    <t xml:space="preserve">K - 273.15 </t>
  </si>
  <si>
    <t>K =</t>
  </si>
  <si>
    <t>C + 273.15</t>
  </si>
  <si>
    <t>Kilometers</t>
  </si>
  <si>
    <t>Feet</t>
  </si>
  <si>
    <t>Statute Miles</t>
  </si>
  <si>
    <t>Nautical Miles</t>
  </si>
  <si>
    <t>Meters</t>
  </si>
  <si>
    <t>Ft to M</t>
  </si>
  <si>
    <t>mB to in</t>
  </si>
  <si>
    <t>in to mm</t>
  </si>
  <si>
    <t>mB to mm</t>
  </si>
  <si>
    <t>mB to psia</t>
  </si>
  <si>
    <t>mB to kg/cm2</t>
  </si>
  <si>
    <t>Ata</t>
  </si>
  <si>
    <r>
      <t>kg/cm</t>
    </r>
    <r>
      <rPr>
        <vertAlign val="superscript"/>
        <sz val="8"/>
        <color indexed="8"/>
        <rFont val="Arial"/>
        <family val="2"/>
      </rPr>
      <t>2</t>
    </r>
  </si>
  <si>
    <t>inHg</t>
  </si>
  <si>
    <t>mmHg</t>
  </si>
  <si>
    <t>1: lapse rate of layer &lt;&gt; 0</t>
  </si>
  <si>
    <t>SAS Version of formulas</t>
  </si>
  <si>
    <t>P</t>
  </si>
  <si>
    <r>
      <t>= P</t>
    </r>
    <r>
      <rPr>
        <sz val="8"/>
        <color indexed="8"/>
        <rFont val="Calibri"/>
        <family val="2"/>
      </rPr>
      <t>b</t>
    </r>
    <r>
      <rPr>
        <sz val="11"/>
        <color indexed="8"/>
        <rFont val="Calibri"/>
        <family val="2"/>
      </rPr>
      <t xml:space="preserve"> * (  [ T</t>
    </r>
    <r>
      <rPr>
        <sz val="8"/>
        <color indexed="8"/>
        <rFont val="Calibri"/>
        <family val="2"/>
      </rPr>
      <t>b</t>
    </r>
    <r>
      <rPr>
        <sz val="11"/>
        <color indexed="8"/>
        <rFont val="Calibri"/>
        <family val="2"/>
      </rPr>
      <t xml:space="preserve"> / </t>
    </r>
    <r>
      <rPr>
        <sz val="11"/>
        <color indexed="53"/>
        <rFont val="Calibri"/>
        <family val="2"/>
      </rPr>
      <t>( T</t>
    </r>
    <r>
      <rPr>
        <sz val="8"/>
        <color indexed="53"/>
        <rFont val="Calibri"/>
        <family val="2"/>
      </rPr>
      <t xml:space="preserve">b </t>
    </r>
    <r>
      <rPr>
        <sz val="11"/>
        <color indexed="53"/>
        <rFont val="Calibri"/>
        <family val="2"/>
      </rPr>
      <t xml:space="preserve">+ </t>
    </r>
    <r>
      <rPr>
        <sz val="11"/>
        <color indexed="57"/>
        <rFont val="Calibri"/>
        <family val="2"/>
      </rPr>
      <t>[ L</t>
    </r>
    <r>
      <rPr>
        <sz val="8"/>
        <color indexed="57"/>
        <rFont val="Calibri"/>
        <family val="2"/>
      </rPr>
      <t>b</t>
    </r>
    <r>
      <rPr>
        <sz val="11"/>
        <color indexed="57"/>
        <rFont val="Calibri"/>
        <family val="2"/>
      </rPr>
      <t xml:space="preserve"> * </t>
    </r>
    <r>
      <rPr>
        <sz val="11"/>
        <color indexed="10"/>
        <rFont val="Calibri"/>
        <family val="2"/>
      </rPr>
      <t>(h-h</t>
    </r>
    <r>
      <rPr>
        <sz val="8"/>
        <color indexed="10"/>
        <rFont val="Calibri"/>
        <family val="2"/>
      </rPr>
      <t>b</t>
    </r>
    <r>
      <rPr>
        <sz val="11"/>
        <color indexed="10"/>
        <rFont val="Calibri"/>
        <family val="2"/>
      </rPr>
      <t>)</t>
    </r>
    <r>
      <rPr>
        <sz val="11"/>
        <color indexed="57"/>
        <rFont val="Calibri"/>
        <family val="2"/>
      </rPr>
      <t xml:space="preserve"> ]</t>
    </r>
    <r>
      <rPr>
        <sz val="11"/>
        <color indexed="53"/>
        <rFont val="Calibri"/>
        <family val="2"/>
      </rPr>
      <t xml:space="preserve"> )</t>
    </r>
    <r>
      <rPr>
        <sz val="11"/>
        <color indexed="8"/>
        <rFont val="Calibri"/>
        <family val="2"/>
      </rPr>
      <t xml:space="preserve"> ] ^ ( </t>
    </r>
    <r>
      <rPr>
        <sz val="11"/>
        <color indexed="17"/>
        <rFont val="Calibri"/>
        <family val="2"/>
      </rPr>
      <t>(g</t>
    </r>
    <r>
      <rPr>
        <sz val="8"/>
        <color indexed="17"/>
        <rFont val="Calibri"/>
        <family val="2"/>
      </rPr>
      <t>0</t>
    </r>
    <r>
      <rPr>
        <sz val="11"/>
        <color indexed="17"/>
        <rFont val="Calibri"/>
        <family val="2"/>
      </rPr>
      <t>*M)</t>
    </r>
    <r>
      <rPr>
        <sz val="11"/>
        <color indexed="8"/>
        <rFont val="Calibri"/>
        <family val="2"/>
      </rPr>
      <t xml:space="preserve"> / </t>
    </r>
    <r>
      <rPr>
        <sz val="11"/>
        <color indexed="20"/>
        <rFont val="Calibri"/>
        <family val="2"/>
      </rPr>
      <t>(R</t>
    </r>
    <r>
      <rPr>
        <sz val="8"/>
        <color indexed="20"/>
        <rFont val="Calibri"/>
        <family val="2"/>
      </rPr>
      <t>*</t>
    </r>
    <r>
      <rPr>
        <sz val="11"/>
        <color indexed="20"/>
        <rFont val="Calibri"/>
        <family val="2"/>
      </rPr>
      <t>*L</t>
    </r>
    <r>
      <rPr>
        <sz val="8"/>
        <color indexed="20"/>
        <rFont val="Calibri"/>
        <family val="2"/>
      </rPr>
      <t>b</t>
    </r>
    <r>
      <rPr>
        <sz val="11"/>
        <color indexed="20"/>
        <rFont val="Calibri"/>
        <family val="2"/>
      </rPr>
      <t>)</t>
    </r>
    <r>
      <rPr>
        <sz val="11"/>
        <color indexed="8"/>
        <rFont val="Calibri"/>
        <family val="2"/>
      </rPr>
      <t xml:space="preserve"> )  )</t>
    </r>
  </si>
  <si>
    <r>
      <t xml:space="preserve">= C18 * (  (D18 / </t>
    </r>
    <r>
      <rPr>
        <sz val="11"/>
        <color indexed="53"/>
        <rFont val="Calibri"/>
        <family val="2"/>
      </rPr>
      <t>( D18 + (</t>
    </r>
    <r>
      <rPr>
        <sz val="11"/>
        <color indexed="57"/>
        <rFont val="Calibri"/>
        <family val="2"/>
      </rPr>
      <t xml:space="preserve"> E18 * </t>
    </r>
    <r>
      <rPr>
        <sz val="11"/>
        <color indexed="10"/>
        <rFont val="Calibri"/>
        <family val="2"/>
      </rPr>
      <t>(I18-B18)</t>
    </r>
    <r>
      <rPr>
        <sz val="11"/>
        <color indexed="57"/>
        <rFont val="Calibri"/>
        <family val="2"/>
      </rPr>
      <t xml:space="preserve"> )</t>
    </r>
    <r>
      <rPr>
        <sz val="11"/>
        <color indexed="53"/>
        <rFont val="Calibri"/>
        <family val="2"/>
      </rPr>
      <t xml:space="preserve"> )</t>
    </r>
    <r>
      <rPr>
        <sz val="11"/>
        <color indexed="8"/>
        <rFont val="Calibri"/>
        <family val="2"/>
      </rPr>
      <t xml:space="preserve"> )  ^ ( </t>
    </r>
    <r>
      <rPr>
        <sz val="11"/>
        <color indexed="17"/>
        <rFont val="Calibri"/>
        <family val="2"/>
      </rPr>
      <t>(G$18*H$18)</t>
    </r>
    <r>
      <rPr>
        <sz val="11"/>
        <color indexed="8"/>
        <rFont val="Calibri"/>
        <family val="2"/>
      </rPr>
      <t xml:space="preserve"> / </t>
    </r>
    <r>
      <rPr>
        <sz val="11"/>
        <color indexed="20"/>
        <rFont val="Calibri"/>
        <family val="2"/>
      </rPr>
      <t>(F$18*E18)</t>
    </r>
    <r>
      <rPr>
        <sz val="11"/>
        <color indexed="8"/>
        <rFont val="Calibri"/>
        <family val="2"/>
      </rPr>
      <t xml:space="preserve"> )  )</t>
    </r>
  </si>
  <si>
    <t>= C33 * (  (D33 / ( D33 + ( E33 * (I33-B33) ) ) )  ^ ( (G$33*H$33) / (F$33*E33) )  )</t>
  </si>
  <si>
    <t xml:space="preserve">2: lapse rate of layer = 0 </t>
  </si>
  <si>
    <r>
      <t>= P</t>
    </r>
    <r>
      <rPr>
        <sz val="8"/>
        <color indexed="8"/>
        <rFont val="Calibri"/>
        <family val="2"/>
      </rPr>
      <t>b * e</t>
    </r>
    <r>
      <rPr>
        <sz val="11"/>
        <color indexed="8"/>
        <rFont val="Calibri"/>
        <family val="2"/>
      </rPr>
      <t xml:space="preserve">^ (   </t>
    </r>
    <r>
      <rPr>
        <sz val="11"/>
        <color indexed="53"/>
        <rFont val="Calibri"/>
        <family val="2"/>
      </rPr>
      <t>(</t>
    </r>
    <r>
      <rPr>
        <sz val="11"/>
        <color indexed="8"/>
        <rFont val="Calibri"/>
        <family val="2"/>
      </rPr>
      <t xml:space="preserve"> </t>
    </r>
    <r>
      <rPr>
        <sz val="11"/>
        <color indexed="53"/>
        <rFont val="Calibri"/>
        <family val="2"/>
      </rPr>
      <t>- g</t>
    </r>
    <r>
      <rPr>
        <sz val="8"/>
        <color indexed="53"/>
        <rFont val="Calibri"/>
        <family val="2"/>
      </rPr>
      <t>0</t>
    </r>
    <r>
      <rPr>
        <sz val="8"/>
        <color indexed="8"/>
        <rFont val="Calibri"/>
        <family val="2"/>
      </rPr>
      <t xml:space="preserve"> </t>
    </r>
    <r>
      <rPr>
        <sz val="11"/>
        <color indexed="8"/>
        <rFont val="Calibri"/>
        <family val="2"/>
      </rPr>
      <t xml:space="preserve">* </t>
    </r>
    <r>
      <rPr>
        <sz val="11"/>
        <color indexed="17"/>
        <rFont val="Calibri"/>
        <family val="2"/>
      </rPr>
      <t>M</t>
    </r>
    <r>
      <rPr>
        <sz val="11"/>
        <color indexed="8"/>
        <rFont val="Calibri"/>
        <family val="2"/>
      </rPr>
      <t xml:space="preserve"> * </t>
    </r>
    <r>
      <rPr>
        <sz val="11"/>
        <color indexed="10"/>
        <rFont val="Calibri"/>
        <family val="2"/>
      </rPr>
      <t>(h-h</t>
    </r>
    <r>
      <rPr>
        <sz val="8"/>
        <color indexed="10"/>
        <rFont val="Calibri"/>
        <family val="2"/>
      </rPr>
      <t>b)</t>
    </r>
    <r>
      <rPr>
        <sz val="11"/>
        <color indexed="8"/>
        <rFont val="Calibri"/>
        <family val="2"/>
      </rPr>
      <t xml:space="preserve"> </t>
    </r>
    <r>
      <rPr>
        <sz val="11"/>
        <color indexed="53"/>
        <rFont val="Calibri"/>
        <family val="2"/>
      </rPr>
      <t>)</t>
    </r>
    <r>
      <rPr>
        <sz val="11"/>
        <color indexed="8"/>
        <rFont val="Calibri"/>
        <family val="2"/>
      </rPr>
      <t xml:space="preserve"> / </t>
    </r>
    <r>
      <rPr>
        <sz val="11"/>
        <color indexed="20"/>
        <rFont val="Calibri"/>
        <family val="2"/>
      </rPr>
      <t>(R</t>
    </r>
    <r>
      <rPr>
        <sz val="8"/>
        <color indexed="20"/>
        <rFont val="Calibri"/>
        <family val="2"/>
      </rPr>
      <t>*</t>
    </r>
    <r>
      <rPr>
        <sz val="11"/>
        <color indexed="20"/>
        <rFont val="Calibri"/>
        <family val="2"/>
      </rPr>
      <t>*T</t>
    </r>
    <r>
      <rPr>
        <sz val="8"/>
        <color indexed="20"/>
        <rFont val="Calibri"/>
        <family val="2"/>
      </rPr>
      <t>b )</t>
    </r>
    <r>
      <rPr>
        <sz val="11"/>
        <color indexed="8"/>
        <rFont val="Calibri"/>
        <family val="2"/>
      </rPr>
      <t xml:space="preserve"> ) </t>
    </r>
  </si>
  <si>
    <r>
      <t xml:space="preserve">= C19 * exp( </t>
    </r>
    <r>
      <rPr>
        <sz val="11"/>
        <color indexed="53"/>
        <rFont val="Calibri"/>
        <family val="2"/>
      </rPr>
      <t>(</t>
    </r>
    <r>
      <rPr>
        <sz val="11"/>
        <color indexed="8"/>
        <rFont val="Calibri"/>
        <family val="2"/>
      </rPr>
      <t xml:space="preserve"> </t>
    </r>
    <r>
      <rPr>
        <sz val="11"/>
        <color indexed="53"/>
        <rFont val="Calibri"/>
        <family val="2"/>
      </rPr>
      <t>-G$18</t>
    </r>
    <r>
      <rPr>
        <sz val="11"/>
        <color indexed="8"/>
        <rFont val="Calibri"/>
        <family val="2"/>
      </rPr>
      <t xml:space="preserve"> * </t>
    </r>
    <r>
      <rPr>
        <sz val="11"/>
        <color indexed="17"/>
        <rFont val="Calibri"/>
        <family val="2"/>
      </rPr>
      <t>H$18</t>
    </r>
    <r>
      <rPr>
        <sz val="11"/>
        <color indexed="8"/>
        <rFont val="Calibri"/>
        <family val="2"/>
      </rPr>
      <t xml:space="preserve"> *</t>
    </r>
    <r>
      <rPr>
        <sz val="11"/>
        <color indexed="10"/>
        <rFont val="Calibri"/>
        <family val="2"/>
      </rPr>
      <t xml:space="preserve"> (I19-B19)</t>
    </r>
    <r>
      <rPr>
        <sz val="11"/>
        <color indexed="8"/>
        <rFont val="Calibri"/>
        <family val="2"/>
      </rPr>
      <t xml:space="preserve"> </t>
    </r>
    <r>
      <rPr>
        <sz val="11"/>
        <color indexed="53"/>
        <rFont val="Calibri"/>
        <family val="2"/>
      </rPr>
      <t>)</t>
    </r>
    <r>
      <rPr>
        <sz val="11"/>
        <color indexed="8"/>
        <rFont val="Calibri"/>
        <family val="2"/>
      </rPr>
      <t xml:space="preserve"> / </t>
    </r>
    <r>
      <rPr>
        <sz val="11"/>
        <color indexed="20"/>
        <rFont val="Calibri"/>
        <family val="2"/>
      </rPr>
      <t>(F$18*D19)</t>
    </r>
    <r>
      <rPr>
        <sz val="11"/>
        <color indexed="8"/>
        <rFont val="Calibri"/>
        <family val="2"/>
      </rPr>
      <t xml:space="preserve"> ) </t>
    </r>
  </si>
  <si>
    <t>= C34 * exp( ( -G$33 * H$33 * (I34-B34) ) / (F$33*D34) )</t>
  </si>
  <si>
    <t>for both, where:</t>
  </si>
  <si>
    <t>Imperial</t>
  </si>
  <si>
    <r>
      <t>h</t>
    </r>
    <r>
      <rPr>
        <i/>
        <vertAlign val="subscript"/>
        <sz val="10"/>
        <color indexed="8"/>
        <rFont val="Calibri"/>
        <family val="2"/>
      </rPr>
      <t>b</t>
    </r>
    <r>
      <rPr>
        <sz val="10"/>
        <color indexed="8"/>
        <rFont val="Calibri"/>
        <family val="2"/>
      </rPr>
      <t xml:space="preserve"> </t>
    </r>
  </si>
  <si>
    <r>
      <t>P</t>
    </r>
    <r>
      <rPr>
        <i/>
        <vertAlign val="subscript"/>
        <sz val="10"/>
        <color indexed="8"/>
        <rFont val="Calibri"/>
        <family val="2"/>
      </rPr>
      <t xml:space="preserve">b </t>
    </r>
  </si>
  <si>
    <r>
      <t>T</t>
    </r>
    <r>
      <rPr>
        <i/>
        <vertAlign val="subscript"/>
        <sz val="10"/>
        <color indexed="8"/>
        <rFont val="Calibri"/>
        <family val="2"/>
      </rPr>
      <t xml:space="preserve">b </t>
    </r>
  </si>
  <si>
    <r>
      <t>L</t>
    </r>
    <r>
      <rPr>
        <i/>
        <vertAlign val="subscript"/>
        <sz val="10"/>
        <color indexed="8"/>
        <rFont val="Calibri"/>
        <family val="2"/>
      </rPr>
      <t>b</t>
    </r>
    <r>
      <rPr>
        <i/>
        <sz val="10"/>
        <color indexed="8"/>
        <rFont val="Calibri"/>
        <family val="2"/>
      </rPr>
      <t xml:space="preserve"> </t>
    </r>
  </si>
  <si>
    <r>
      <t>R</t>
    </r>
    <r>
      <rPr>
        <vertAlign val="superscript"/>
        <sz val="10"/>
        <color indexed="8"/>
        <rFont val="Calibri"/>
        <family val="2"/>
      </rPr>
      <t>*</t>
    </r>
  </si>
  <si>
    <r>
      <t>g</t>
    </r>
    <r>
      <rPr>
        <i/>
        <vertAlign val="subscript"/>
        <sz val="10"/>
        <color indexed="8"/>
        <rFont val="Calibri"/>
        <family val="2"/>
      </rPr>
      <t>0</t>
    </r>
  </si>
  <si>
    <t>M</t>
  </si>
  <si>
    <t>Formula</t>
  </si>
  <si>
    <t>Extent of Layer</t>
  </si>
  <si>
    <t>B28…</t>
  </si>
  <si>
    <t>C28...</t>
  </si>
  <si>
    <t>D28...</t>
  </si>
  <si>
    <t>E28...</t>
  </si>
  <si>
    <t>F28</t>
  </si>
  <si>
    <t>G28</t>
  </si>
  <si>
    <t>H28</t>
  </si>
  <si>
    <t>J28...</t>
  </si>
  <si>
    <t>constant within layer</t>
  </si>
  <si>
    <t>constant</t>
  </si>
  <si>
    <t>independant variable</t>
  </si>
  <si>
    <t>dependant variable</t>
  </si>
  <si>
    <t>Height at bottom of layer b (feet; e.g., h1 = 36,089 ft)</t>
  </si>
  <si>
    <t>Static Pressure at base of layer (inches of mercury, "inHg")</t>
  </si>
  <si>
    <t>Standard temperature of base of layer (kelvins, "K")</t>
  </si>
  <si>
    <t>Standard temperature lapse rate of layer (kelvins per foot, "K/ft")</t>
  </si>
  <si>
    <r>
      <t>Universal gas constant; using feet, kelvins, and (SI) moles: 8.9494596×10</t>
    </r>
    <r>
      <rPr>
        <vertAlign val="superscript"/>
        <sz val="8"/>
        <color indexed="8"/>
        <rFont val="Calibri"/>
        <family val="2"/>
      </rPr>
      <t>2</t>
    </r>
    <r>
      <rPr>
        <sz val="8"/>
        <color indexed="8"/>
        <rFont val="Calibri"/>
        <family val="2"/>
      </rPr>
      <t>g</t>
    </r>
    <r>
      <rPr>
        <vertAlign val="subscript"/>
        <sz val="8"/>
        <color indexed="8"/>
        <rFont val="Calibri"/>
        <family val="2"/>
      </rPr>
      <t>0</t>
    </r>
    <r>
      <rPr>
        <sz val="8"/>
        <color indexed="8"/>
        <rFont val="Calibri"/>
        <family val="2"/>
      </rPr>
      <t> s</t>
    </r>
    <r>
      <rPr>
        <vertAlign val="superscript"/>
        <sz val="8"/>
        <color indexed="8"/>
        <rFont val="Calibri"/>
        <family val="2"/>
      </rPr>
      <t>2</t>
    </r>
    <r>
      <rPr>
        <sz val="8"/>
        <color indexed="8"/>
        <rFont val="Calibri"/>
        <family val="2"/>
      </rPr>
      <t>/(mol·K)</t>
    </r>
  </si>
  <si>
    <r>
      <t>Standard gravity (32.17405 ft/s</t>
    </r>
    <r>
      <rPr>
        <vertAlign val="superscript"/>
        <sz val="8"/>
        <color indexed="8"/>
        <rFont val="Calibri"/>
        <family val="2"/>
      </rPr>
      <t>2</t>
    </r>
    <r>
      <rPr>
        <sz val="8"/>
        <color indexed="8"/>
        <rFont val="Calibri"/>
        <family val="2"/>
      </rPr>
      <t>)</t>
    </r>
  </si>
  <si>
    <t>Molar mass of Earth's air (0.0289644 kg/mol)</t>
  </si>
  <si>
    <t>Altitude
(feet, ft)</t>
  </si>
  <si>
    <t>Air Pressure (inches of mercury, "inHg")</t>
  </si>
  <si>
    <t>Row</t>
  </si>
  <si>
    <t>Height at bottom of layer b (meters; e.g., h1 = 11,000 m)</t>
  </si>
  <si>
    <t>Static Pressure at base of layer (Pa)</t>
  </si>
  <si>
    <t>Standard temperature of base of layer (kelvins, K)</t>
  </si>
  <si>
    <t>Standard temperature lapse rate of layer (kelvins per foot, K/M)</t>
  </si>
  <si>
    <t>Universal gas constant; using feet, kelvins, and (SI) moles: 8.9494596×104g0 s2/(mol·K)</t>
  </si>
  <si>
    <t>Standard gravity (9.80665 m/s2)</t>
  </si>
  <si>
    <t>Altitude
(meters, m)</t>
  </si>
  <si>
    <t>Air Pressure
(pascals, Pa)</t>
  </si>
  <si>
    <t>Col</t>
  </si>
  <si>
    <t>hb</t>
  </si>
  <si>
    <t>pb</t>
  </si>
  <si>
    <t>tb</t>
  </si>
  <si>
    <t>lb</t>
  </si>
  <si>
    <t xml:space="preserve">Using the above forumla, "Atmospheric Pressure (F1)" table is... </t>
  </si>
  <si>
    <t>layer</t>
  </si>
  <si>
    <t>Layer/formulas</t>
  </si>
  <si>
    <t>when</t>
  </si>
  <si>
    <t>Layer 0: lapse rate of layer &lt;&gt; 0</t>
  </si>
  <si>
    <r>
      <t xml:space="preserve">= Pb * (  [ Tb / </t>
    </r>
    <r>
      <rPr>
        <sz val="8"/>
        <color indexed="53"/>
        <rFont val="Calibri"/>
        <family val="2"/>
      </rPr>
      <t xml:space="preserve">( Tb + </t>
    </r>
    <r>
      <rPr>
        <sz val="8"/>
        <color indexed="57"/>
        <rFont val="Calibri"/>
        <family val="2"/>
      </rPr>
      <t xml:space="preserve">[ Lb * </t>
    </r>
    <r>
      <rPr>
        <sz val="8"/>
        <color indexed="10"/>
        <rFont val="Calibri"/>
        <family val="2"/>
      </rPr>
      <t>(h-hb)</t>
    </r>
    <r>
      <rPr>
        <sz val="8"/>
        <color indexed="57"/>
        <rFont val="Calibri"/>
        <family val="2"/>
      </rPr>
      <t xml:space="preserve"> ]</t>
    </r>
    <r>
      <rPr>
        <sz val="8"/>
        <color indexed="53"/>
        <rFont val="Calibri"/>
        <family val="2"/>
      </rPr>
      <t xml:space="preserve"> )</t>
    </r>
    <r>
      <rPr>
        <sz val="8"/>
        <color indexed="8"/>
        <rFont val="Calibri"/>
        <family val="2"/>
      </rPr>
      <t xml:space="preserve"> ] ^ ( </t>
    </r>
    <r>
      <rPr>
        <sz val="8"/>
        <color indexed="17"/>
        <rFont val="Calibri"/>
        <family val="2"/>
      </rPr>
      <t>(g0*M)</t>
    </r>
    <r>
      <rPr>
        <sz val="8"/>
        <color indexed="8"/>
        <rFont val="Calibri"/>
        <family val="2"/>
      </rPr>
      <t xml:space="preserve"> / </t>
    </r>
    <r>
      <rPr>
        <sz val="8"/>
        <color indexed="20"/>
        <rFont val="Calibri"/>
        <family val="2"/>
      </rPr>
      <t>(R**Lb)</t>
    </r>
    <r>
      <rPr>
        <sz val="8"/>
        <color indexed="8"/>
        <rFont val="Calibri"/>
        <family val="2"/>
      </rPr>
      <t xml:space="preserve"> )  )</t>
    </r>
  </si>
  <si>
    <r>
      <t xml:space="preserve">= C$18 * (  (D$18 / </t>
    </r>
    <r>
      <rPr>
        <sz val="8"/>
        <color indexed="53"/>
        <rFont val="Calibri"/>
        <family val="2"/>
      </rPr>
      <t>( D$18 + (</t>
    </r>
    <r>
      <rPr>
        <sz val="8"/>
        <color indexed="57"/>
        <rFont val="Calibri"/>
        <family val="2"/>
      </rPr>
      <t xml:space="preserve"> E$18 * </t>
    </r>
    <r>
      <rPr>
        <sz val="8"/>
        <color indexed="10"/>
        <rFont val="Calibri"/>
        <family val="2"/>
      </rPr>
      <t>(</t>
    </r>
    <r>
      <rPr>
        <b/>
        <sz val="12"/>
        <color indexed="10"/>
        <rFont val="Calibri"/>
        <family val="2"/>
      </rPr>
      <t>A45</t>
    </r>
    <r>
      <rPr>
        <sz val="8"/>
        <color indexed="10"/>
        <rFont val="Calibri"/>
        <family val="2"/>
      </rPr>
      <t>-B$18)</t>
    </r>
    <r>
      <rPr>
        <sz val="8"/>
        <color indexed="57"/>
        <rFont val="Calibri"/>
        <family val="2"/>
      </rPr>
      <t xml:space="preserve"> )</t>
    </r>
    <r>
      <rPr>
        <sz val="8"/>
        <color indexed="53"/>
        <rFont val="Calibri"/>
        <family val="2"/>
      </rPr>
      <t xml:space="preserve"> )</t>
    </r>
    <r>
      <rPr>
        <sz val="8"/>
        <color indexed="8"/>
        <rFont val="Calibri"/>
        <family val="2"/>
      </rPr>
      <t xml:space="preserve"> )  ^ ( </t>
    </r>
    <r>
      <rPr>
        <sz val="8"/>
        <color indexed="17"/>
        <rFont val="Calibri"/>
        <family val="2"/>
      </rPr>
      <t>(g$18*h$18)</t>
    </r>
    <r>
      <rPr>
        <sz val="8"/>
        <color indexed="8"/>
        <rFont val="Calibri"/>
        <family val="2"/>
      </rPr>
      <t xml:space="preserve"> / </t>
    </r>
    <r>
      <rPr>
        <sz val="8"/>
        <color indexed="20"/>
        <rFont val="Calibri"/>
        <family val="2"/>
      </rPr>
      <t>(f$18*E$18)</t>
    </r>
    <r>
      <rPr>
        <sz val="8"/>
        <color indexed="8"/>
        <rFont val="Calibri"/>
        <family val="2"/>
      </rPr>
      <t xml:space="preserve"> )  )</t>
    </r>
  </si>
  <si>
    <t>seleect;</t>
  </si>
  <si>
    <t xml:space="preserve"> </t>
  </si>
  <si>
    <t xml:space="preserve">Layer 1: lapse rate of layer = 0 </t>
  </si>
  <si>
    <r>
      <t xml:space="preserve">= Pb * e^ (   </t>
    </r>
    <r>
      <rPr>
        <sz val="8"/>
        <color indexed="53"/>
        <rFont val="Calibri"/>
        <family val="2"/>
      </rPr>
      <t>(</t>
    </r>
    <r>
      <rPr>
        <sz val="8"/>
        <color indexed="8"/>
        <rFont val="Calibri"/>
        <family val="2"/>
      </rPr>
      <t xml:space="preserve"> </t>
    </r>
    <r>
      <rPr>
        <sz val="8"/>
        <color indexed="53"/>
        <rFont val="Calibri"/>
        <family val="2"/>
      </rPr>
      <t>- g0</t>
    </r>
    <r>
      <rPr>
        <sz val="8"/>
        <color indexed="8"/>
        <rFont val="Calibri"/>
        <family val="2"/>
      </rPr>
      <t xml:space="preserve"> * </t>
    </r>
    <r>
      <rPr>
        <sz val="8"/>
        <color indexed="17"/>
        <rFont val="Calibri"/>
        <family val="2"/>
      </rPr>
      <t>M</t>
    </r>
    <r>
      <rPr>
        <sz val="8"/>
        <color indexed="8"/>
        <rFont val="Calibri"/>
        <family val="2"/>
      </rPr>
      <t xml:space="preserve"> * </t>
    </r>
    <r>
      <rPr>
        <sz val="8"/>
        <color indexed="10"/>
        <rFont val="Calibri"/>
        <family val="2"/>
      </rPr>
      <t>(h-hb)</t>
    </r>
    <r>
      <rPr>
        <sz val="8"/>
        <color indexed="8"/>
        <rFont val="Calibri"/>
        <family val="2"/>
      </rPr>
      <t xml:space="preserve"> </t>
    </r>
    <r>
      <rPr>
        <sz val="8"/>
        <color indexed="53"/>
        <rFont val="Calibri"/>
        <family val="2"/>
      </rPr>
      <t>)</t>
    </r>
    <r>
      <rPr>
        <sz val="8"/>
        <color indexed="8"/>
        <rFont val="Calibri"/>
        <family val="2"/>
      </rPr>
      <t xml:space="preserve"> / </t>
    </r>
    <r>
      <rPr>
        <sz val="8"/>
        <color indexed="20"/>
        <rFont val="Calibri"/>
        <family val="2"/>
      </rPr>
      <t>(R**Tb )</t>
    </r>
    <r>
      <rPr>
        <sz val="8"/>
        <color indexed="8"/>
        <rFont val="Calibri"/>
        <family val="2"/>
      </rPr>
      <t xml:space="preserve"> ) </t>
    </r>
  </si>
  <si>
    <t>Layer 2: lapse rate of layer &lt;&gt; 0</t>
  </si>
  <si>
    <t xml:space="preserve">Layer 3: lapse rate of layer &lt;&gt; 0 </t>
  </si>
  <si>
    <t>Layer 4: lapse rate of layer = 0</t>
  </si>
  <si>
    <t>Layer 5: lapse rate of layer &lt;&gt; 0</t>
  </si>
  <si>
    <t>Layer 6: lapse rate of layer &lt;&gt; 0</t>
  </si>
  <si>
    <t>Altitude MSL</t>
  </si>
  <si>
    <t>NWS Chart?</t>
  </si>
  <si>
    <t>&lt;&lt;&lt;</t>
  </si>
  <si>
    <t>C:</t>
  </si>
  <si>
    <t>&gt;&gt;&gt;</t>
  </si>
  <si>
    <r>
      <t>kg/cm</t>
    </r>
    <r>
      <rPr>
        <i/>
        <vertAlign val="superscript"/>
        <sz val="8"/>
        <color indexed="8"/>
        <rFont val="Arial"/>
        <family val="2"/>
      </rPr>
      <t>2</t>
    </r>
  </si>
  <si>
    <t xml:space="preserve"> = C$18 * (  (D$18 / ( D$18 + ( E$18 * (A106-B$18) ) ) )  ^ ( (G$18*H$18) / (F$18*E$18) )  )</t>
  </si>
  <si>
    <t xml:space="preserve"> = L$19 * EXP( ( -P$18 * Q$18 * (J215-K$19) ) / (O$18*M$19) )</t>
  </si>
  <si>
    <t>REFERENCE: By Meters to inHG/mB</t>
  </si>
  <si>
    <t>end ;</t>
  </si>
  <si>
    <t xml:space="preserve"> = C$20 * (  (D$20 / ( D$20 + ( E$20 * (A303-B$20) ) ) )  ^ ( (G$18*H$18) / (F$18*E$20) )  )</t>
  </si>
  <si>
    <t xml:space="preserve"> = C$21 * (  (D$21/ ( D$21+ ( E$21* (A421-B$21) ) ) )  ^ ( (G$18*H$18) / (F$18*E$21) )  )</t>
  </si>
  <si>
    <t>REFERENCE: By Feet to inHG/mB</t>
  </si>
  <si>
    <t xml:space="preserve"> = C$18 * (  (D$18 / ( D$18 + ( E$18 * (A608-B$18) ) ) )  ^ ( (G$18*H$18) / (F$18*E$18) )  )</t>
  </si>
  <si>
    <t xml:space="preserve"> = C$19 * EXP( ( -G$18 * H$18 * (A681-B$19) ) / (F$18*D$19) )</t>
  </si>
  <si>
    <t xml:space="preserve"> = C$20 * (  (D$20 / ( D$20 + ( E$20 * (A740-B$20) ) ) )  ^ ( (G$18*H$18) / (F$18*E$20) )  )</t>
  </si>
  <si>
    <t xml:space="preserve"> = C$20 * (  (D$20 / ( D$20 + ( E$20 * (A818-B$20) ) ) )  ^ ( (G$18*H$18) / (F$18*E$20) )  )</t>
  </si>
  <si>
    <t>feet/FL**</t>
  </si>
  <si>
    <t>Freezing point of Water</t>
  </si>
  <si>
    <t>Standard Temperature</t>
  </si>
  <si>
    <r>
      <t>H</t>
    </r>
    <r>
      <rPr>
        <b/>
        <vertAlign val="subscript"/>
        <sz val="11"/>
        <color indexed="8"/>
        <rFont val="Calibri"/>
        <family val="2"/>
      </rPr>
      <t>2</t>
    </r>
    <r>
      <rPr>
        <b/>
        <sz val="11"/>
        <color indexed="8"/>
        <rFont val="Calibri"/>
        <family val="2"/>
      </rPr>
      <t>0 Sat Pres</t>
    </r>
  </si>
  <si>
    <t>SAS Program begins S51</t>
  </si>
  <si>
    <t>SAS Program Work Area: Program fragment begins at S51</t>
  </si>
  <si>
    <t>Formula:</t>
  </si>
  <si>
    <t>"Mild" or "Home" chambers that are FDA approved chambers available in the USA go up to 4.4  pounds per square inch (psi) above atmospheric pressure, which equals 1.4  atmospheres absolute (ATA), equivalent to a depth of 13.2  feet of sea water (fsw)</t>
  </si>
  <si>
    <t xml:space="preserve">In yellow highlight, </t>
  </si>
  <si>
    <r>
      <t xml:space="preserve">In </t>
    </r>
    <r>
      <rPr>
        <b/>
        <u val="single"/>
        <sz val="8"/>
        <color indexed="8"/>
        <rFont val="Calibri"/>
        <family val="2"/>
      </rPr>
      <t>bold/underlined</t>
    </r>
    <r>
      <rPr>
        <sz val="8"/>
        <color indexed="8"/>
        <rFont val="Calibri"/>
        <family val="2"/>
      </rPr>
      <t xml:space="preserve">, </t>
    </r>
  </si>
  <si>
    <t>Analysis &amp; Forecast from Jeppesen</t>
  </si>
  <si>
    <t>http://jeppesen.com/aviation/personal/aviation-weather.jsp</t>
  </si>
  <si>
    <t xml:space="preserve">"NWS Fax Charts"; now the following: </t>
  </si>
  <si>
    <t>Note: Jeppesen charts do not correspond one-to-one with NWS charts</t>
  </si>
  <si>
    <t>-&gt; Standard Barotropic Fax Charts,Charts</t>
  </si>
  <si>
    <t>-&gt; Winds / Streamlines Fax</t>
  </si>
  <si>
    <t>-&gt; Multi-Panel Fax Charts</t>
  </si>
  <si>
    <t>-&gt; Hemispheric Fax Charts</t>
  </si>
  <si>
    <t>-&gt; Weather Depiction / Significant Weather</t>
  </si>
  <si>
    <t>-&gt; Surface Analysis/Forecast</t>
  </si>
  <si>
    <t>-&gt; Various ("Freezing Level," "Lift Index," etc.)</t>
  </si>
  <si>
    <r>
      <t xml:space="preserve">In </t>
    </r>
    <r>
      <rPr>
        <b/>
        <i/>
        <sz val="8"/>
        <color indexed="8"/>
        <rFont val="Calibri"/>
        <family val="2"/>
      </rPr>
      <t>bold italic</t>
    </r>
    <r>
      <rPr>
        <sz val="8"/>
        <color indexed="8"/>
        <rFont val="Calibri"/>
        <family val="2"/>
      </rPr>
      <t xml:space="preserve">, </t>
    </r>
  </si>
  <si>
    <t>Pressure: Charts and Key Numbers</t>
  </si>
  <si>
    <t>mB*</t>
  </si>
  <si>
    <t>(°F)</t>
  </si>
  <si>
    <t>(°C)</t>
  </si>
  <si>
    <t>°C = K</t>
  </si>
  <si>
    <t>°F</t>
  </si>
  <si>
    <t>millibar</t>
  </si>
  <si>
    <t>inches</t>
  </si>
  <si>
    <t>FAA's various O2 requirements begin at this altitude: cf 14 CFR 121.329, 14 CFR 91.211</t>
  </si>
  <si>
    <t xml:space="preserve">3) </t>
  </si>
  <si>
    <t xml:space="preserve">2) </t>
  </si>
  <si>
    <t>Ambiant pressure less than O2 partial pressure at sea level: pure O2 will no longer provide sea level O2 pressure on lung.</t>
  </si>
  <si>
    <t xml:space="preserve">1) </t>
  </si>
  <si>
    <t>O2 Partial Pressure less than 160 mB: altitude effects likely to begin.</t>
  </si>
  <si>
    <t>WORK ONLY: Atmospheric Pressure Formulas</t>
  </si>
  <si>
    <r>
      <t xml:space="preserve">= C$19 * exp( ( </t>
    </r>
    <r>
      <rPr>
        <sz val="8"/>
        <color indexed="53"/>
        <rFont val="Calibri"/>
        <family val="2"/>
      </rPr>
      <t>-g$18</t>
    </r>
    <r>
      <rPr>
        <sz val="8"/>
        <color indexed="8"/>
        <rFont val="Calibri"/>
        <family val="2"/>
      </rPr>
      <t xml:space="preserve"> * </t>
    </r>
    <r>
      <rPr>
        <sz val="8"/>
        <color indexed="17"/>
        <rFont val="Calibri"/>
        <family val="2"/>
      </rPr>
      <t>h$18</t>
    </r>
    <r>
      <rPr>
        <sz val="8"/>
        <color indexed="8"/>
        <rFont val="Calibri"/>
        <family val="2"/>
      </rPr>
      <t xml:space="preserve"> *</t>
    </r>
    <r>
      <rPr>
        <sz val="8"/>
        <color indexed="10"/>
        <rFont val="Calibri"/>
        <family val="2"/>
      </rPr>
      <t xml:space="preserve"> (</t>
    </r>
    <r>
      <rPr>
        <b/>
        <sz val="12"/>
        <color indexed="10"/>
        <rFont val="Calibri"/>
        <family val="2"/>
      </rPr>
      <t>A66</t>
    </r>
    <r>
      <rPr>
        <sz val="8"/>
        <color indexed="10"/>
        <rFont val="Calibri"/>
        <family val="2"/>
      </rPr>
      <t>-B$19)</t>
    </r>
    <r>
      <rPr>
        <sz val="8"/>
        <color indexed="8"/>
        <rFont val="Calibri"/>
        <family val="2"/>
      </rPr>
      <t xml:space="preserve"> ) / (</t>
    </r>
    <r>
      <rPr>
        <sz val="8"/>
        <color indexed="20"/>
        <rFont val="Calibri"/>
        <family val="2"/>
      </rPr>
      <t>f$18*$D$19)</t>
    </r>
    <r>
      <rPr>
        <sz val="8"/>
        <color indexed="8"/>
        <rFont val="Calibri"/>
        <family val="2"/>
      </rPr>
      <t xml:space="preserve"> ) </t>
    </r>
  </si>
  <si>
    <t>Degrees Celsius = Kelvin</t>
  </si>
  <si>
    <t>(°C/km)</t>
  </si>
  <si>
    <r>
      <t>h</t>
    </r>
    <r>
      <rPr>
        <b/>
        <sz val="10"/>
        <color indexed="8"/>
        <rFont val="Calibri"/>
        <family val="2"/>
      </rPr>
      <t xml:space="preserve"> (ft)</t>
    </r>
  </si>
  <si>
    <r>
      <t>z</t>
    </r>
    <r>
      <rPr>
        <b/>
        <sz val="10"/>
        <color indexed="8"/>
        <rFont val="Calibri"/>
        <family val="2"/>
      </rPr>
      <t xml:space="preserve"> (ft)</t>
    </r>
  </si>
  <si>
    <r>
      <t>p</t>
    </r>
    <r>
      <rPr>
        <b/>
        <sz val="10"/>
        <color indexed="8"/>
        <rFont val="Calibri"/>
        <family val="2"/>
      </rPr>
      <t xml:space="preserve"> (mB)</t>
    </r>
  </si>
  <si>
    <r>
      <t>T</t>
    </r>
    <r>
      <rPr>
        <b/>
        <sz val="10"/>
        <color indexed="8"/>
        <rFont val="Calibri"/>
        <family val="2"/>
      </rPr>
      <t xml:space="preserve"> (°F)</t>
    </r>
  </si>
  <si>
    <r>
      <t>h</t>
    </r>
    <r>
      <rPr>
        <b/>
        <sz val="10"/>
        <color indexed="8"/>
        <rFont val="Calibri"/>
        <family val="2"/>
      </rPr>
      <t xml:space="preserve"> (km)</t>
    </r>
  </si>
  <si>
    <r>
      <t>z</t>
    </r>
    <r>
      <rPr>
        <b/>
        <sz val="10"/>
        <color indexed="8"/>
        <rFont val="Calibri"/>
        <family val="2"/>
      </rPr>
      <t xml:space="preserve"> (km)</t>
    </r>
  </si>
  <si>
    <r>
      <t>p</t>
    </r>
    <r>
      <rPr>
        <b/>
        <sz val="10"/>
        <color indexed="8"/>
        <rFont val="Calibri"/>
        <family val="2"/>
      </rPr>
      <t xml:space="preserve"> (Pa)</t>
    </r>
  </si>
  <si>
    <r>
      <t>T</t>
    </r>
    <r>
      <rPr>
        <b/>
        <sz val="10"/>
        <color indexed="8"/>
        <rFont val="Calibri"/>
        <family val="2"/>
      </rPr>
      <t xml:space="preserve"> (°C)</t>
    </r>
  </si>
  <si>
    <r>
      <rPr>
        <i/>
        <sz val="9"/>
        <color indexed="8"/>
        <rFont val="Calibri"/>
        <family val="2"/>
      </rPr>
      <t>The Engineering Toolbox</t>
    </r>
    <r>
      <rPr>
        <sz val="9"/>
        <color indexed="8"/>
        <rFont val="Calibri"/>
        <family val="2"/>
      </rPr>
      <t>, [online] http://www.engineeringtoolbox.com/air-altitude-pressure-d_462.html (retrieved 8/3/2009)</t>
    </r>
  </si>
  <si>
    <t>PP (mB)</t>
  </si>
  <si>
    <t>Pressure (mB)</t>
  </si>
  <si>
    <t>Altitude (ft)</t>
  </si>
  <si>
    <t>Oxygen partial pressure (PP)</t>
  </si>
  <si>
    <t>Data Sources:</t>
  </si>
  <si>
    <t>NWS Isotachs:</t>
  </si>
  <si>
    <t>Surface</t>
  </si>
  <si>
    <r>
      <t xml:space="preserve">(*) The following </t>
    </r>
    <r>
      <rPr>
        <b/>
        <sz val="8"/>
        <color indexed="8"/>
        <rFont val="Calibri"/>
        <family val="2"/>
      </rPr>
      <t>pressure levels</t>
    </r>
    <r>
      <rPr>
        <sz val="8"/>
        <color indexed="8"/>
        <rFont val="Calibri"/>
        <family val="2"/>
      </rPr>
      <t xml:space="preserve"> (along with surface)have published weather charts:
</t>
    </r>
  </si>
  <si>
    <r>
      <t xml:space="preserve">(**) All </t>
    </r>
    <r>
      <rPr>
        <b/>
        <sz val="8"/>
        <color indexed="8"/>
        <rFont val="Calibri"/>
        <family val="2"/>
      </rPr>
      <t>Altitudes/Flight Levels</t>
    </r>
    <r>
      <rPr>
        <sz val="8"/>
        <color indexed="8"/>
        <rFont val="Calibri"/>
        <family val="2"/>
      </rPr>
      <t xml:space="preserve"> listed have published weather NWS charts [WAFS Facsimile (T4) Charts]:</t>
    </r>
  </si>
  <si>
    <t>Standard Temperature and Pressure</t>
  </si>
  <si>
    <t xml:space="preserve">P=pressure, </t>
  </si>
  <si>
    <t>Pb=pressure at base of layer,</t>
  </si>
  <si>
    <t xml:space="preserve">Lb=lapse rate within layer, </t>
  </si>
  <si>
    <t>Hb=height of base of layer</t>
  </si>
  <si>
    <t>H = altitude for which pressure is to be determined</t>
  </si>
  <si>
    <t xml:space="preserve">Tb=Temperature at base of layer, </t>
  </si>
  <si>
    <t>M=molar mass of air</t>
  </si>
  <si>
    <t>Where</t>
  </si>
  <si>
    <t>R* (or "R_star")=universal gas constant</t>
  </si>
  <si>
    <t>g0=standard gravity</t>
  </si>
  <si>
    <t>(parts per million by volume)</t>
  </si>
  <si>
    <t>ppmv</t>
  </si>
  <si>
    <t>multiply by</t>
  </si>
  <si>
    <t>in to cm</t>
  </si>
  <si>
    <t>M to Ft</t>
  </si>
  <si>
    <t>mm to in</t>
  </si>
  <si>
    <t>cm to in</t>
  </si>
  <si>
    <t>Distance</t>
  </si>
  <si>
    <t>For flight-planning purposes, the lapse rate, surface to 36,000 ft, is assumed to be 3.5°F, 2.0°C, per 1000 feet.</t>
  </si>
  <si>
    <t>REFERENCE: Pressure Level to Altitude Crosswalks for selected NWS Charts</t>
  </si>
  <si>
    <t>_</t>
  </si>
  <si>
    <r>
      <t>At/above this altitude, air pressure less than O</t>
    </r>
    <r>
      <rPr>
        <vertAlign val="subscript"/>
        <sz val="11"/>
        <color indexed="8"/>
        <rFont val="Agency FB"/>
        <family val="2"/>
      </rPr>
      <t>2</t>
    </r>
    <r>
      <rPr>
        <sz val="11"/>
        <color indexed="8"/>
        <rFont val="Agency FB"/>
        <family val="2"/>
      </rPr>
      <t xml:space="preserve"> pp at sea level</t>
    </r>
  </si>
</sst>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0"/>
    <numFmt numFmtId="170" formatCode="_(* #,##0.00_);_(* \(#,##0.00\);_(* \-??_);_(@_)"/>
    <numFmt numFmtId="171" formatCode="0.00\ "/>
    <numFmt numFmtId="172" formatCode="0.0\ "/>
    <numFmt numFmtId="173" formatCode="_(* #,##0_);_(* \(#,##0\);_(* \-??_);_(@_)"/>
    <numFmt numFmtId="174" formatCode="?0.???????%"/>
    <numFmt numFmtId="175" formatCode="#,##0.000"/>
    <numFmt numFmtId="176" formatCode="0.000000%"/>
    <numFmt numFmtId="177" formatCode="0.00000E+00"/>
    <numFmt numFmtId="178" formatCode="0.000%"/>
    <numFmt numFmtId="179" formatCode="0.000E+00"/>
    <numFmt numFmtId="180" formatCode="?0.00"/>
    <numFmt numFmtId="181" formatCode="#,##0.0000"/>
    <numFmt numFmtId="182" formatCode="_(* #,##0.0000_);_(* \(#,##0.0000\);_(* \-??_);_(@_)"/>
    <numFmt numFmtId="183" formatCode="_(* #,##0.00000_);_(* \(#,##0.00000\);_(* \-??_);_(@_)"/>
    <numFmt numFmtId="184" formatCode="_(* #,##0.000_);_(* \(#,##0.000\);_(* \-??_);_(@_)"/>
    <numFmt numFmtId="185" formatCode="0.000000000"/>
    <numFmt numFmtId="186" formatCode="_(* #,##0.0000000_);_(* \(#,##0.0000000\);_(* \-??_);_(@_)"/>
    <numFmt numFmtId="187" formatCode="_(* #,##0.0_);_(* \(#,##0.0\);_(* \-??_);_(@_)"/>
    <numFmt numFmtId="188" formatCode="0.00000000"/>
    <numFmt numFmtId="189" formatCode="#,##0.00000"/>
    <numFmt numFmtId="190" formatCode="#,##0.000000"/>
    <numFmt numFmtId="191" formatCode="#,##0.0000000"/>
    <numFmt numFmtId="192" formatCode="0.0%"/>
    <numFmt numFmtId="193" formatCode="0.0000%"/>
    <numFmt numFmtId="194" formatCode="0.00000%"/>
    <numFmt numFmtId="195" formatCode="0.0000000%"/>
    <numFmt numFmtId="196" formatCode="0.00000000%"/>
    <numFmt numFmtId="197" formatCode="[$-409]h:mm:ss\ AM/PM"/>
    <numFmt numFmtId="198" formatCode="[$-409]dddd\,\ mmmm\ dd\,\ yyyy"/>
    <numFmt numFmtId="199" formatCode="?0.????????%"/>
    <numFmt numFmtId="200" formatCode="?0.?????????%"/>
    <numFmt numFmtId="201" formatCode="?0.??????????%"/>
    <numFmt numFmtId="202" formatCode="?0.???????????%"/>
    <numFmt numFmtId="203" formatCode="&quot;Yes&quot;;&quot;Yes&quot;;&quot;No&quot;"/>
    <numFmt numFmtId="204" formatCode="&quot;True&quot;;&quot;True&quot;;&quot;False&quot;"/>
    <numFmt numFmtId="205" formatCode="&quot;On&quot;;&quot;On&quot;;&quot;Off&quot;"/>
    <numFmt numFmtId="206" formatCode="[$€-2]\ #,##0.00_);[Red]\([$€-2]\ #,##0.00\)"/>
    <numFmt numFmtId="207" formatCode="_(* #,##0.000_);_(* \(#,##0.000\);_(* &quot;-&quot;???_);_(@_)"/>
  </numFmts>
  <fonts count="152">
    <font>
      <sz val="11"/>
      <color indexed="8"/>
      <name val="Calibri"/>
      <family val="2"/>
    </font>
    <font>
      <sz val="10"/>
      <name val="Arial"/>
      <family val="0"/>
    </font>
    <font>
      <b/>
      <sz val="14"/>
      <color indexed="8"/>
      <name val="Calibri"/>
      <family val="2"/>
    </font>
    <font>
      <sz val="14"/>
      <color indexed="8"/>
      <name val="Calibri"/>
      <family val="2"/>
    </font>
    <font>
      <b/>
      <sz val="10"/>
      <color indexed="8"/>
      <name val="Arial"/>
      <family val="2"/>
    </font>
    <font>
      <b/>
      <sz val="11"/>
      <color indexed="8"/>
      <name val="Calibri"/>
      <family val="2"/>
    </font>
    <font>
      <b/>
      <sz val="12"/>
      <color indexed="8"/>
      <name val="Calibri"/>
      <family val="2"/>
    </font>
    <font>
      <b/>
      <sz val="10"/>
      <color indexed="8"/>
      <name val="Calibri"/>
      <family val="2"/>
    </font>
    <font>
      <b/>
      <i/>
      <sz val="10"/>
      <color indexed="8"/>
      <name val="Calibri"/>
      <family val="2"/>
    </font>
    <font>
      <sz val="9"/>
      <color indexed="8"/>
      <name val="Calibri"/>
      <family val="2"/>
    </font>
    <font>
      <sz val="8"/>
      <color indexed="8"/>
      <name val="Calibri"/>
      <family val="2"/>
    </font>
    <font>
      <sz val="9"/>
      <color indexed="10"/>
      <name val="Calibri"/>
      <family val="2"/>
    </font>
    <font>
      <b/>
      <i/>
      <sz val="9"/>
      <color indexed="40"/>
      <name val="Calibri"/>
      <family val="2"/>
    </font>
    <font>
      <sz val="11"/>
      <color indexed="8"/>
      <name val="Arial"/>
      <family val="2"/>
    </font>
    <font>
      <sz val="10"/>
      <color indexed="8"/>
      <name val="Calibri"/>
      <family val="2"/>
    </font>
    <font>
      <u val="single"/>
      <sz val="9"/>
      <color indexed="62"/>
      <name val="Calibri"/>
      <family val="2"/>
    </font>
    <font>
      <u val="single"/>
      <sz val="11"/>
      <color indexed="12"/>
      <name val="Calibri"/>
      <family val="2"/>
    </font>
    <font>
      <b/>
      <sz val="9"/>
      <color indexed="8"/>
      <name val="Calibri"/>
      <family val="2"/>
    </font>
    <font>
      <vertAlign val="superscript"/>
      <sz val="11"/>
      <color indexed="8"/>
      <name val="Calibri"/>
      <family val="2"/>
    </font>
    <font>
      <b/>
      <i/>
      <sz val="11"/>
      <color indexed="8"/>
      <name val="Arial"/>
      <family val="2"/>
    </font>
    <font>
      <b/>
      <i/>
      <vertAlign val="subscript"/>
      <sz val="11"/>
      <color indexed="8"/>
      <name val="Arial"/>
      <family val="2"/>
    </font>
    <font>
      <b/>
      <i/>
      <vertAlign val="superscript"/>
      <sz val="11"/>
      <color indexed="8"/>
      <name val="Arial"/>
      <family val="2"/>
    </font>
    <font>
      <i/>
      <sz val="11"/>
      <color indexed="8"/>
      <name val="Calibri"/>
      <family val="2"/>
    </font>
    <font>
      <i/>
      <vertAlign val="subscript"/>
      <sz val="11"/>
      <color indexed="8"/>
      <name val="Calibri"/>
      <family val="2"/>
    </font>
    <font>
      <b/>
      <sz val="8"/>
      <color indexed="8"/>
      <name val="Calibri"/>
      <family val="2"/>
    </font>
    <font>
      <i/>
      <sz val="11"/>
      <color indexed="23"/>
      <name val="Calibri"/>
      <family val="2"/>
    </font>
    <font>
      <sz val="11"/>
      <color indexed="23"/>
      <name val="Calibri"/>
      <family val="2"/>
    </font>
    <font>
      <b/>
      <i/>
      <sz val="11"/>
      <color indexed="8"/>
      <name val="Calibri"/>
      <family val="2"/>
    </font>
    <font>
      <b/>
      <i/>
      <sz val="11"/>
      <color indexed="23"/>
      <name val="Calibri"/>
      <family val="2"/>
    </font>
    <font>
      <u val="single"/>
      <sz val="8"/>
      <color indexed="8"/>
      <name val="Calibri"/>
      <family val="2"/>
    </font>
    <font>
      <sz val="8"/>
      <color indexed="8"/>
      <name val="Arial"/>
      <family val="2"/>
    </font>
    <font>
      <i/>
      <sz val="8"/>
      <color indexed="23"/>
      <name val="Calibri"/>
      <family val="2"/>
    </font>
    <font>
      <i/>
      <sz val="8"/>
      <color indexed="8"/>
      <name val="Arial"/>
      <family val="2"/>
    </font>
    <font>
      <sz val="8"/>
      <color indexed="8"/>
      <name val="Courior new"/>
      <family val="0"/>
    </font>
    <font>
      <sz val="8.8"/>
      <color indexed="8"/>
      <name val="Arial"/>
      <family val="2"/>
    </font>
    <font>
      <i/>
      <sz val="8.8"/>
      <color indexed="10"/>
      <name val="Arial"/>
      <family val="2"/>
    </font>
    <font>
      <i/>
      <sz val="8.8"/>
      <color indexed="8"/>
      <name val="Arial"/>
      <family val="2"/>
    </font>
    <font>
      <i/>
      <vertAlign val="superscript"/>
      <sz val="8.8"/>
      <color indexed="8"/>
      <name val="Arial"/>
      <family val="2"/>
    </font>
    <font>
      <sz val="11"/>
      <color indexed="10"/>
      <name val="Calibri"/>
      <family val="2"/>
    </font>
    <font>
      <i/>
      <sz val="8"/>
      <color indexed="8"/>
      <name val="Calibri"/>
      <family val="2"/>
    </font>
    <font>
      <b/>
      <sz val="8.8"/>
      <color indexed="8"/>
      <name val="Arial"/>
      <family val="2"/>
    </font>
    <font>
      <b/>
      <vertAlign val="superscript"/>
      <sz val="8.8"/>
      <color indexed="8"/>
      <name val="Arial"/>
      <family val="2"/>
    </font>
    <font>
      <sz val="8.8"/>
      <name val="Arial"/>
      <family val="2"/>
    </font>
    <font>
      <b/>
      <u val="single"/>
      <sz val="11"/>
      <color indexed="8"/>
      <name val="Calibri"/>
      <family val="2"/>
    </font>
    <font>
      <sz val="9"/>
      <name val="Calibri"/>
      <family val="2"/>
    </font>
    <font>
      <u val="single"/>
      <sz val="11"/>
      <color indexed="8"/>
      <name val="Calibri"/>
      <family val="2"/>
    </font>
    <font>
      <sz val="11"/>
      <color indexed="62"/>
      <name val="Calibri"/>
      <family val="2"/>
    </font>
    <font>
      <b/>
      <sz val="11"/>
      <color indexed="62"/>
      <name val="Calibri"/>
      <family val="2"/>
    </font>
    <font>
      <b/>
      <u val="single"/>
      <sz val="11"/>
      <color indexed="62"/>
      <name val="Calibri"/>
      <family val="2"/>
    </font>
    <font>
      <u val="single"/>
      <sz val="8"/>
      <color indexed="12"/>
      <name val="Calibri"/>
      <family val="2"/>
    </font>
    <font>
      <sz val="9"/>
      <color indexed="8"/>
      <name val="Arial"/>
      <family val="2"/>
    </font>
    <font>
      <b/>
      <sz val="11"/>
      <name val="Calibri"/>
      <family val="2"/>
    </font>
    <font>
      <sz val="11"/>
      <name val="Calibri"/>
      <family val="2"/>
    </font>
    <font>
      <i/>
      <sz val="10"/>
      <color indexed="23"/>
      <name val="Calibri"/>
      <family val="2"/>
    </font>
    <font>
      <sz val="8"/>
      <color indexed="23"/>
      <name val="Arial"/>
      <family val="2"/>
    </font>
    <font>
      <i/>
      <sz val="8.8"/>
      <color indexed="23"/>
      <name val="Arial"/>
      <family val="2"/>
    </font>
    <font>
      <i/>
      <sz val="8"/>
      <color indexed="23"/>
      <name val="Arial"/>
      <family val="2"/>
    </font>
    <font>
      <b/>
      <i/>
      <sz val="8.8"/>
      <color indexed="8"/>
      <name val="Arial"/>
      <family val="2"/>
    </font>
    <font>
      <sz val="8"/>
      <name val="Calibri"/>
      <family val="2"/>
    </font>
    <font>
      <b/>
      <sz val="11"/>
      <color indexed="60"/>
      <name val="Calibri"/>
      <family val="2"/>
    </font>
    <font>
      <i/>
      <sz val="9"/>
      <color indexed="23"/>
      <name val="Calibri"/>
      <family val="2"/>
    </font>
    <font>
      <b/>
      <i/>
      <sz val="8"/>
      <color indexed="8"/>
      <name val="Calibri"/>
      <family val="2"/>
    </font>
    <font>
      <b/>
      <i/>
      <u val="single"/>
      <sz val="11"/>
      <color indexed="8"/>
      <name val="Calibri"/>
      <family val="2"/>
    </font>
    <font>
      <b/>
      <i/>
      <u val="single"/>
      <sz val="8"/>
      <color indexed="8"/>
      <name val="Calibri"/>
      <family val="2"/>
    </font>
    <font>
      <i/>
      <u val="single"/>
      <sz val="8"/>
      <color indexed="8"/>
      <name val="Calibri"/>
      <family val="2"/>
    </font>
    <font>
      <sz val="11"/>
      <color indexed="55"/>
      <name val="Calibri"/>
      <family val="2"/>
    </font>
    <font>
      <vertAlign val="superscript"/>
      <sz val="8"/>
      <color indexed="8"/>
      <name val="Arial"/>
      <family val="2"/>
    </font>
    <font>
      <sz val="8"/>
      <name val="Arial"/>
      <family val="2"/>
    </font>
    <font>
      <sz val="11"/>
      <color indexed="53"/>
      <name val="Calibri"/>
      <family val="2"/>
    </font>
    <font>
      <sz val="8"/>
      <color indexed="53"/>
      <name val="Calibri"/>
      <family val="2"/>
    </font>
    <font>
      <sz val="11"/>
      <color indexed="57"/>
      <name val="Calibri"/>
      <family val="2"/>
    </font>
    <font>
      <sz val="8"/>
      <color indexed="57"/>
      <name val="Calibri"/>
      <family val="2"/>
    </font>
    <font>
      <sz val="8"/>
      <color indexed="10"/>
      <name val="Calibri"/>
      <family val="2"/>
    </font>
    <font>
      <sz val="11"/>
      <color indexed="17"/>
      <name val="Calibri"/>
      <family val="2"/>
    </font>
    <font>
      <sz val="8"/>
      <color indexed="17"/>
      <name val="Calibri"/>
      <family val="2"/>
    </font>
    <font>
      <sz val="11"/>
      <color indexed="20"/>
      <name val="Calibri"/>
      <family val="2"/>
    </font>
    <font>
      <sz val="8"/>
      <color indexed="20"/>
      <name val="Calibri"/>
      <family val="2"/>
    </font>
    <font>
      <i/>
      <vertAlign val="subscript"/>
      <sz val="10"/>
      <color indexed="8"/>
      <name val="Calibri"/>
      <family val="2"/>
    </font>
    <font>
      <i/>
      <sz val="10"/>
      <color indexed="8"/>
      <name val="Calibri"/>
      <family val="2"/>
    </font>
    <font>
      <vertAlign val="superscript"/>
      <sz val="10"/>
      <color indexed="8"/>
      <name val="Calibri"/>
      <family val="2"/>
    </font>
    <font>
      <vertAlign val="superscript"/>
      <sz val="8"/>
      <color indexed="8"/>
      <name val="Calibri"/>
      <family val="2"/>
    </font>
    <font>
      <vertAlign val="subscript"/>
      <sz val="8"/>
      <color indexed="8"/>
      <name val="Calibri"/>
      <family val="2"/>
    </font>
    <font>
      <sz val="11"/>
      <color indexed="9"/>
      <name val="Calibri"/>
      <family val="2"/>
    </font>
    <font>
      <sz val="11"/>
      <color indexed="13"/>
      <name val="Calibri"/>
      <family val="2"/>
    </font>
    <font>
      <b/>
      <i/>
      <sz val="9"/>
      <color indexed="8"/>
      <name val="Calibri"/>
      <family val="2"/>
    </font>
    <font>
      <b/>
      <sz val="12"/>
      <color indexed="10"/>
      <name val="Calibri"/>
      <family val="2"/>
    </font>
    <font>
      <b/>
      <sz val="8"/>
      <color indexed="8"/>
      <name val="Arial"/>
      <family val="2"/>
    </font>
    <font>
      <b/>
      <sz val="8.8"/>
      <color indexed="16"/>
      <name val="Arial"/>
      <family val="2"/>
    </font>
    <font>
      <sz val="8"/>
      <color indexed="16"/>
      <name val="Arial"/>
      <family val="2"/>
    </font>
    <font>
      <i/>
      <vertAlign val="superscript"/>
      <sz val="8"/>
      <color indexed="8"/>
      <name val="Arial"/>
      <family val="2"/>
    </font>
    <font>
      <b/>
      <sz val="11"/>
      <color indexed="9"/>
      <name val="Calibri"/>
      <family val="2"/>
    </font>
    <font>
      <b/>
      <vertAlign val="subscript"/>
      <sz val="11"/>
      <color indexed="8"/>
      <name val="Calibri"/>
      <family val="2"/>
    </font>
    <font>
      <b/>
      <u val="single"/>
      <sz val="8"/>
      <color indexed="8"/>
      <name val="Calibri"/>
      <family val="2"/>
    </font>
    <font>
      <i/>
      <sz val="9"/>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Cambria"/>
      <family val="2"/>
    </font>
    <font>
      <b/>
      <sz val="11"/>
      <color indexed="8"/>
      <name val="Arial"/>
      <family val="2"/>
    </font>
    <font>
      <sz val="11"/>
      <color indexed="10"/>
      <name val="Arial"/>
      <family val="2"/>
    </font>
    <font>
      <i/>
      <sz val="8.8"/>
      <color indexed="55"/>
      <name val="Arial"/>
      <family val="2"/>
    </font>
    <font>
      <b/>
      <sz val="10"/>
      <color indexed="55"/>
      <name val="Calibri"/>
      <family val="2"/>
    </font>
    <font>
      <sz val="10"/>
      <color indexed="55"/>
      <name val="Calibri"/>
      <family val="2"/>
    </font>
    <font>
      <sz val="9"/>
      <color indexed="55"/>
      <name val="Calibri"/>
      <family val="2"/>
    </font>
    <font>
      <b/>
      <sz val="11"/>
      <color indexed="23"/>
      <name val="Calibri"/>
      <family val="2"/>
    </font>
    <font>
      <b/>
      <i/>
      <sz val="8"/>
      <color indexed="8"/>
      <name val="Arial"/>
      <family val="2"/>
    </font>
    <font>
      <sz val="11"/>
      <color indexed="8"/>
      <name val="Agency FB"/>
      <family val="2"/>
    </font>
    <font>
      <sz val="10"/>
      <color indexed="8"/>
      <name val="Wingdings 3"/>
      <family val="1"/>
    </font>
    <font>
      <vertAlign val="subscript"/>
      <sz val="11"/>
      <color indexed="8"/>
      <name val="Agency FB"/>
      <family val="2"/>
    </font>
    <font>
      <b/>
      <i/>
      <sz val="9"/>
      <color indexed="8"/>
      <name val="Arial"/>
      <family val="2"/>
    </font>
    <font>
      <b/>
      <sz val="10"/>
      <name val="Calibri"/>
      <family val="2"/>
    </font>
    <font>
      <sz val="10"/>
      <name val="Calibri"/>
      <family val="2"/>
    </font>
    <font>
      <b/>
      <sz val="9"/>
      <color indexed="8"/>
      <name val="Arial"/>
      <family val="2"/>
    </font>
    <font>
      <i/>
      <sz val="9"/>
      <color indexed="55"/>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i/>
      <sz val="8.8"/>
      <color theme="0" tint="-0.3499799966812134"/>
      <name val="Arial"/>
      <family val="2"/>
    </font>
    <font>
      <sz val="11"/>
      <color theme="0" tint="-0.4999699890613556"/>
      <name val="Calibri"/>
      <family val="2"/>
    </font>
    <font>
      <b/>
      <sz val="10"/>
      <color theme="0" tint="-0.3499799966812134"/>
      <name val="Calibri"/>
      <family val="2"/>
    </font>
    <font>
      <sz val="10"/>
      <color theme="0" tint="-0.3499799966812134"/>
      <name val="Calibri"/>
      <family val="2"/>
    </font>
    <font>
      <sz val="9"/>
      <color theme="0" tint="-0.3499799966812134"/>
      <name val="Calibri"/>
      <family val="2"/>
    </font>
    <font>
      <b/>
      <sz val="11"/>
      <color theme="0" tint="-0.4999699890613556"/>
      <name val="Calibri"/>
      <family val="2"/>
    </font>
    <font>
      <sz val="10"/>
      <color theme="1"/>
      <name val="Wingdings 3"/>
      <family val="1"/>
    </font>
    <font>
      <i/>
      <sz val="8"/>
      <color theme="0" tint="-0.4999699890613556"/>
      <name val="Calibri"/>
      <family val="2"/>
    </font>
    <font>
      <i/>
      <sz val="9"/>
      <color theme="0" tint="-0.3499799966812134"/>
      <name val="Arial"/>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45"/>
        <bgColor indexed="64"/>
      </patternFill>
    </fill>
    <fill>
      <patternFill patternType="solid">
        <fgColor indexed="60"/>
        <bgColor indexed="64"/>
      </patternFill>
    </fill>
    <fill>
      <patternFill patternType="solid">
        <fgColor indexed="62"/>
        <bgColor indexed="64"/>
      </patternFill>
    </fill>
    <fill>
      <patternFill patternType="solid">
        <fgColor indexed="8"/>
        <bgColor indexed="64"/>
      </patternFill>
    </fill>
    <fill>
      <patternFill patternType="solid">
        <fgColor theme="6" tint="0.5999900102615356"/>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0"/>
        <bgColor indexed="64"/>
      </patternFill>
    </fill>
    <fill>
      <patternFill patternType="solid">
        <fgColor indexed="46"/>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
      <patternFill patternType="gray125">
        <fgColor theme="0" tint="-0.149959996342659"/>
        <bgColor indexed="46"/>
      </patternFill>
    </fill>
    <fill>
      <patternFill patternType="gray125">
        <fgColor theme="0" tint="-0.149959996342659"/>
        <bgColor indexed="41"/>
      </patternFill>
    </fill>
    <fill>
      <patternFill patternType="solid">
        <fgColor theme="6" tint="0.79997998476028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FFFFCC"/>
        <bgColor indexed="64"/>
      </patternFill>
    </fill>
  </fills>
  <borders count="4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55"/>
      </right>
      <top style="thin">
        <color indexed="22"/>
      </top>
      <bottom style="thin">
        <color indexed="8"/>
      </bottom>
    </border>
    <border>
      <left>
        <color indexed="63"/>
      </left>
      <right style="thin">
        <color indexed="8"/>
      </right>
      <top style="thin">
        <color indexed="22"/>
      </top>
      <bottom style="thin">
        <color indexed="22"/>
      </bottom>
    </border>
    <border>
      <left style="thin">
        <color indexed="8"/>
      </left>
      <right style="thin">
        <color indexed="8"/>
      </right>
      <top style="thin">
        <color indexed="8"/>
      </top>
      <bottom>
        <color indexed="63"/>
      </bottom>
    </border>
    <border>
      <left style="thin">
        <color indexed="8"/>
      </left>
      <right style="thin">
        <color indexed="55"/>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color indexed="55"/>
      </bottom>
    </border>
    <border>
      <left>
        <color indexed="63"/>
      </left>
      <right style="thin">
        <color indexed="55"/>
      </right>
      <top style="thin">
        <color indexed="8"/>
      </top>
      <bottom style="thin">
        <color indexed="55"/>
      </bottom>
    </border>
    <border>
      <left>
        <color indexed="63"/>
      </left>
      <right style="thin">
        <color indexed="8"/>
      </right>
      <top style="thin">
        <color indexed="8"/>
      </top>
      <bottom style="thin">
        <color indexed="55"/>
      </bottom>
    </border>
    <border>
      <left style="thin">
        <color indexed="8"/>
      </left>
      <right style="thin">
        <color indexed="8"/>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8"/>
      </right>
      <top>
        <color indexed="63"/>
      </top>
      <bottom style="thin">
        <color indexed="55"/>
      </bottom>
    </border>
    <border>
      <left style="thin">
        <color indexed="8"/>
      </left>
      <right style="thin">
        <color indexed="8"/>
      </right>
      <top>
        <color indexed="63"/>
      </top>
      <bottom style="thin">
        <color indexed="8"/>
      </bottom>
    </border>
    <border>
      <left>
        <color indexed="63"/>
      </left>
      <right style="thin">
        <color indexed="55"/>
      </right>
      <top style="thin">
        <color indexed="55"/>
      </top>
      <bottom>
        <color indexed="63"/>
      </bottom>
    </border>
    <border>
      <left style="thin">
        <color indexed="55"/>
      </left>
      <right style="thin">
        <color indexed="55"/>
      </right>
      <top style="thin">
        <color indexed="8"/>
      </top>
      <bottom style="thin">
        <color indexed="55"/>
      </bottom>
    </border>
    <border>
      <left style="thin">
        <color indexed="55"/>
      </left>
      <right style="thin">
        <color indexed="55"/>
      </right>
      <top>
        <color indexed="63"/>
      </top>
      <bottom style="thin">
        <color indexed="55"/>
      </bottom>
    </border>
    <border>
      <left>
        <color indexed="63"/>
      </left>
      <right style="thin">
        <color indexed="55"/>
      </right>
      <top>
        <color indexed="63"/>
      </top>
      <bottom style="thin">
        <color indexed="8"/>
      </bottom>
    </border>
    <border>
      <left style="thin">
        <color indexed="55"/>
      </left>
      <right style="thin">
        <color indexed="55"/>
      </right>
      <top>
        <color indexed="63"/>
      </top>
      <bottom style="thin">
        <color indexed="8"/>
      </bottom>
    </border>
    <border>
      <left style="thin">
        <color indexed="55"/>
      </left>
      <right style="thin">
        <color indexed="8"/>
      </right>
      <top>
        <color indexed="63"/>
      </top>
      <bottom style="thin">
        <color indexed="8"/>
      </bottom>
    </border>
    <border>
      <left style="thin">
        <color indexed="8"/>
      </left>
      <right style="thin">
        <color indexed="55"/>
      </right>
      <top>
        <color indexed="63"/>
      </top>
      <bottom style="thin">
        <color indexed="8"/>
      </bottom>
    </border>
    <border>
      <left style="thin">
        <color indexed="8"/>
      </left>
      <right style="thin">
        <color indexed="55"/>
      </right>
      <top>
        <color indexed="63"/>
      </top>
      <bottom style="thin">
        <color indexed="55"/>
      </bottom>
    </border>
    <border>
      <left style="thin">
        <color indexed="8"/>
      </left>
      <right style="thin">
        <color indexed="55"/>
      </right>
      <top style="thin">
        <color indexed="55"/>
      </top>
      <bottom style="thin">
        <color indexed="55"/>
      </bottom>
    </border>
    <border>
      <left style="thin">
        <color indexed="8"/>
      </left>
      <right style="thin">
        <color indexed="55"/>
      </right>
      <top style="thin">
        <color indexed="22"/>
      </top>
      <bottom style="thin">
        <color indexed="8"/>
      </bottom>
    </border>
    <border>
      <left style="thin">
        <color indexed="8"/>
      </left>
      <right style="thin">
        <color indexed="55"/>
      </right>
      <top style="thin">
        <color indexed="8"/>
      </top>
      <bottom style="thin">
        <color indexed="55"/>
      </bottom>
    </border>
    <border>
      <left>
        <color indexed="63"/>
      </left>
      <right style="thin">
        <color indexed="8"/>
      </right>
      <top style="thin">
        <color indexed="55"/>
      </top>
      <bottom style="thin">
        <color indexed="55"/>
      </bottom>
    </border>
    <border>
      <left style="thin">
        <color indexed="8"/>
      </left>
      <right style="thin">
        <color indexed="8"/>
      </right>
      <top style="thin">
        <color indexed="55"/>
      </top>
      <bottom style="thin">
        <color indexed="55"/>
      </bottom>
    </border>
    <border>
      <left style="thin">
        <color indexed="8"/>
      </left>
      <right style="thin">
        <color indexed="55"/>
      </right>
      <top style="thin">
        <color indexed="55"/>
      </top>
      <bottom style="thin">
        <color indexed="8"/>
      </bottom>
    </border>
    <border>
      <left>
        <color indexed="63"/>
      </left>
      <right style="thin">
        <color indexed="8"/>
      </right>
      <top style="thin">
        <color indexed="55"/>
      </top>
      <bottom style="thin">
        <color indexed="8"/>
      </bottom>
    </border>
    <border>
      <left style="thin">
        <color indexed="8"/>
      </left>
      <right style="thin">
        <color indexed="8"/>
      </right>
      <top style="thin">
        <color indexed="55"/>
      </top>
      <bottom style="thin">
        <color indexed="8"/>
      </bottom>
    </border>
    <border>
      <left style="thin">
        <color indexed="30"/>
      </left>
      <right style="thin">
        <color indexed="55"/>
      </right>
      <top>
        <color indexed="63"/>
      </top>
      <bottom>
        <color indexed="63"/>
      </bottom>
    </border>
    <border>
      <left style="thin">
        <color indexed="30"/>
      </left>
      <right style="thin">
        <color indexed="55"/>
      </right>
      <top>
        <color indexed="63"/>
      </top>
      <bottom style="hair">
        <color indexed="55"/>
      </bottom>
    </border>
    <border>
      <left style="thin">
        <color indexed="55"/>
      </left>
      <right style="thin">
        <color indexed="55"/>
      </right>
      <top>
        <color indexed="63"/>
      </top>
      <bottom style="hair">
        <color indexed="55"/>
      </bottom>
    </border>
    <border>
      <left>
        <color indexed="63"/>
      </left>
      <right style="thin">
        <color indexed="55"/>
      </right>
      <top>
        <color indexed="63"/>
      </top>
      <bottom style="hair">
        <color indexed="55"/>
      </bottom>
    </border>
    <border>
      <left style="thin">
        <color indexed="55"/>
      </left>
      <right style="thin">
        <color indexed="55"/>
      </right>
      <top>
        <color indexed="63"/>
      </top>
      <bottom>
        <color indexed="63"/>
      </bottom>
    </border>
    <border>
      <left>
        <color indexed="63"/>
      </left>
      <right style="thin">
        <color indexed="55"/>
      </right>
      <top>
        <color indexed="63"/>
      </top>
      <bottom>
        <color indexed="63"/>
      </bottom>
    </border>
    <border>
      <left>
        <color indexed="63"/>
      </left>
      <right style="thin">
        <color indexed="30"/>
      </right>
      <top>
        <color indexed="63"/>
      </top>
      <bottom style="hair">
        <color indexed="55"/>
      </bottom>
    </border>
    <border>
      <left style="thin">
        <color indexed="30"/>
      </left>
      <right style="thin">
        <color indexed="55"/>
      </right>
      <top>
        <color indexed="63"/>
      </top>
      <bottom style="thin">
        <color indexed="44"/>
      </bottom>
    </border>
    <border>
      <left style="thin">
        <color indexed="55"/>
      </left>
      <right style="thin">
        <color indexed="55"/>
      </right>
      <top>
        <color indexed="63"/>
      </top>
      <bottom style="thin">
        <color indexed="44"/>
      </bottom>
    </border>
    <border>
      <left>
        <color indexed="63"/>
      </left>
      <right style="thin">
        <color indexed="30"/>
      </right>
      <top>
        <color indexed="63"/>
      </top>
      <bottom style="thin">
        <color indexed="44"/>
      </bottom>
    </border>
    <border>
      <left style="thin">
        <color indexed="30"/>
      </left>
      <right style="thin">
        <color indexed="55"/>
      </right>
      <top style="thin">
        <color indexed="55"/>
      </top>
      <bottom style="thin">
        <color indexed="30"/>
      </bottom>
    </border>
    <border>
      <left>
        <color indexed="63"/>
      </left>
      <right style="medium">
        <color indexed="8"/>
      </right>
      <top>
        <color indexed="63"/>
      </top>
      <bottom>
        <color indexed="63"/>
      </bottom>
    </border>
    <border>
      <left>
        <color indexed="63"/>
      </left>
      <right>
        <color indexed="63"/>
      </right>
      <top style="thin">
        <color indexed="8"/>
      </top>
      <bottom style="thin">
        <color indexed="2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style="thin">
        <color indexed="9"/>
      </right>
      <top>
        <color indexed="63"/>
      </top>
      <bottom>
        <color indexed="63"/>
      </bottom>
    </border>
    <border>
      <left style="thin">
        <color indexed="8"/>
      </left>
      <right>
        <color indexed="63"/>
      </right>
      <top style="thin">
        <color indexed="8"/>
      </top>
      <bottom>
        <color indexed="63"/>
      </bottom>
    </border>
    <border>
      <left style="thin">
        <color indexed="9"/>
      </left>
      <right>
        <color indexed="63"/>
      </right>
      <top style="thin">
        <color indexed="8"/>
      </top>
      <bottom>
        <color indexed="63"/>
      </bottom>
    </border>
    <border>
      <left style="thin">
        <color indexed="9"/>
      </left>
      <right style="thin">
        <color indexed="8"/>
      </right>
      <top style="thin">
        <color indexed="8"/>
      </top>
      <bottom>
        <color indexed="63"/>
      </bottom>
    </border>
    <border>
      <left style="thin">
        <color indexed="8"/>
      </left>
      <right>
        <color indexed="63"/>
      </right>
      <top>
        <color indexed="63"/>
      </top>
      <bottom>
        <color indexed="63"/>
      </bottom>
    </border>
    <border>
      <left style="thin">
        <color indexed="9"/>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9"/>
      </right>
      <top>
        <color indexed="63"/>
      </top>
      <bottom>
        <color indexed="63"/>
      </bottom>
    </border>
    <border>
      <left style="medium">
        <color indexed="8"/>
      </left>
      <right>
        <color indexed="63"/>
      </right>
      <top>
        <color indexed="63"/>
      </top>
      <bottom>
        <color indexed="63"/>
      </bottom>
    </border>
    <border>
      <left style="thin">
        <color indexed="9"/>
      </left>
      <right>
        <color indexed="63"/>
      </right>
      <top>
        <color indexed="63"/>
      </top>
      <bottom style="thin">
        <color indexed="8"/>
      </bottom>
    </border>
    <border>
      <left style="thin">
        <color indexed="9"/>
      </left>
      <right style="thin">
        <color indexed="8"/>
      </right>
      <top>
        <color indexed="63"/>
      </top>
      <bottom style="thin">
        <color indexed="8"/>
      </bottom>
    </border>
    <border>
      <left style="thin">
        <color indexed="55"/>
      </left>
      <right style="thin">
        <color indexed="8"/>
      </right>
      <top style="thin">
        <color indexed="8"/>
      </top>
      <bottom style="thin">
        <color indexed="26"/>
      </bottom>
    </border>
    <border>
      <left style="thin">
        <color indexed="8"/>
      </left>
      <right style="thin">
        <color indexed="22"/>
      </right>
      <top>
        <color indexed="63"/>
      </top>
      <bottom style="thin">
        <color indexed="55"/>
      </bottom>
    </border>
    <border>
      <left>
        <color indexed="63"/>
      </left>
      <right>
        <color indexed="63"/>
      </right>
      <top>
        <color indexed="63"/>
      </top>
      <bottom style="thin">
        <color indexed="55"/>
      </bottom>
    </border>
    <border>
      <left style="thin">
        <color indexed="55"/>
      </left>
      <right style="thin">
        <color indexed="22"/>
      </right>
      <top>
        <color indexed="63"/>
      </top>
      <bottom style="thin">
        <color indexed="55"/>
      </bottom>
    </border>
    <border>
      <left>
        <color indexed="63"/>
      </left>
      <right style="thin">
        <color indexed="22"/>
      </right>
      <top>
        <color indexed="63"/>
      </top>
      <bottom style="thin">
        <color indexed="55"/>
      </bottom>
    </border>
    <border>
      <left style="thin">
        <color indexed="8"/>
      </left>
      <right style="thin">
        <color indexed="22"/>
      </right>
      <top style="thin">
        <color indexed="22"/>
      </top>
      <bottom style="thin">
        <color indexed="22"/>
      </bottom>
    </border>
    <border>
      <left style="thin">
        <color indexed="55"/>
      </left>
      <right style="thin">
        <color indexed="22"/>
      </right>
      <top style="thin">
        <color indexed="22"/>
      </top>
      <bottom style="thin">
        <color indexed="22"/>
      </bottom>
    </border>
    <border>
      <left style="thin">
        <color indexed="55"/>
      </left>
      <right style="thin">
        <color indexed="22"/>
      </right>
      <top>
        <color indexed="63"/>
      </top>
      <bottom style="thin">
        <color indexed="22"/>
      </bottom>
    </border>
    <border>
      <left>
        <color indexed="63"/>
      </left>
      <right style="thin">
        <color indexed="55"/>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8"/>
      </right>
      <top>
        <color indexed="63"/>
      </top>
      <bottom style="thin">
        <color indexed="22"/>
      </bottom>
    </border>
    <border>
      <left>
        <color indexed="63"/>
      </left>
      <right>
        <color indexed="63"/>
      </right>
      <top style="thin">
        <color indexed="9"/>
      </top>
      <bottom>
        <color indexed="63"/>
      </bottom>
    </border>
    <border>
      <left>
        <color indexed="63"/>
      </left>
      <right style="thin">
        <color indexed="55"/>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9"/>
      </right>
      <top style="thin">
        <color indexed="9"/>
      </top>
      <bottom style="thin">
        <color indexed="9"/>
      </bottom>
    </border>
    <border>
      <left style="thin">
        <color indexed="55"/>
      </left>
      <right style="thin">
        <color indexed="8"/>
      </right>
      <top style="thin">
        <color indexed="22"/>
      </top>
      <bottom style="thin">
        <color indexed="22"/>
      </bottom>
    </border>
    <border>
      <left>
        <color indexed="63"/>
      </left>
      <right style="thin">
        <color indexed="9"/>
      </right>
      <top style="thin">
        <color indexed="9"/>
      </top>
      <bottom style="thin">
        <color indexed="8"/>
      </bottom>
    </border>
    <border>
      <left>
        <color indexed="63"/>
      </left>
      <right>
        <color indexed="63"/>
      </right>
      <top style="thin">
        <color indexed="22"/>
      </top>
      <bottom style="thin">
        <color indexed="22"/>
      </bottom>
    </border>
    <border>
      <left style="thin">
        <color indexed="22"/>
      </left>
      <right style="thin">
        <color indexed="55"/>
      </right>
      <top style="thin">
        <color indexed="22"/>
      </top>
      <bottom style="thin">
        <color indexed="22"/>
      </bottom>
    </border>
    <border>
      <left style="thin">
        <color indexed="9"/>
      </left>
      <right style="thin">
        <color indexed="9"/>
      </right>
      <top style="thin">
        <color indexed="9"/>
      </top>
      <bottom style="thin">
        <color indexed="9"/>
      </bottom>
    </border>
    <border>
      <left style="thin">
        <color indexed="8"/>
      </left>
      <right style="thin">
        <color indexed="22"/>
      </right>
      <top style="thin">
        <color indexed="22"/>
      </top>
      <bottom style="thin">
        <color indexed="8"/>
      </bottom>
    </border>
    <border>
      <left style="thin">
        <color indexed="22"/>
      </left>
      <right style="thin">
        <color indexed="55"/>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9"/>
      </top>
      <bottom>
        <color indexed="63"/>
      </bottom>
    </border>
    <border>
      <left>
        <color indexed="63"/>
      </left>
      <right>
        <color indexed="63"/>
      </right>
      <top style="thin">
        <color indexed="9"/>
      </top>
      <bottom style="thin">
        <color indexed="9"/>
      </bottom>
    </border>
    <border>
      <left style="thin">
        <color indexed="55"/>
      </left>
      <right style="thin">
        <color indexed="62"/>
      </right>
      <top style="thin">
        <color indexed="55"/>
      </top>
      <bottom style="thin">
        <color indexed="26"/>
      </bottom>
    </border>
    <border>
      <left>
        <color indexed="63"/>
      </left>
      <right style="thin">
        <color indexed="55"/>
      </right>
      <top style="thin">
        <color indexed="55"/>
      </top>
      <bottom style="thin">
        <color indexed="26"/>
      </bottom>
    </border>
    <border>
      <left>
        <color indexed="63"/>
      </left>
      <right style="thin">
        <color indexed="8"/>
      </right>
      <top style="thin">
        <color indexed="55"/>
      </top>
      <bottom>
        <color indexed="63"/>
      </bottom>
    </border>
    <border>
      <left>
        <color indexed="63"/>
      </left>
      <right style="thin">
        <color indexed="8"/>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55"/>
      </right>
      <top style="thin">
        <color indexed="26"/>
      </top>
      <bottom>
        <color indexed="63"/>
      </bottom>
    </border>
    <border>
      <left>
        <color indexed="63"/>
      </left>
      <right style="thin">
        <color indexed="8"/>
      </right>
      <top style="thin">
        <color indexed="26"/>
      </top>
      <bottom>
        <color indexed="63"/>
      </bottom>
    </border>
    <border>
      <left style="thin">
        <color indexed="55"/>
      </left>
      <right style="thin">
        <color indexed="8"/>
      </right>
      <top>
        <color indexed="63"/>
      </top>
      <bottom style="thin">
        <color indexed="55"/>
      </bottom>
    </border>
    <border>
      <left>
        <color indexed="63"/>
      </left>
      <right style="thin">
        <color indexed="55"/>
      </right>
      <top style="thin">
        <color indexed="26"/>
      </top>
      <bottom style="thin">
        <color indexed="62"/>
      </bottom>
    </border>
    <border>
      <left style="thin">
        <color indexed="55"/>
      </left>
      <right style="thin">
        <color indexed="62"/>
      </right>
      <top>
        <color indexed="63"/>
      </top>
      <bottom style="thin">
        <color indexed="62"/>
      </bottom>
    </border>
    <border>
      <left>
        <color indexed="63"/>
      </left>
      <right style="thin">
        <color indexed="8"/>
      </right>
      <top style="thin">
        <color indexed="26"/>
      </top>
      <bottom style="thin">
        <color indexed="55"/>
      </bottom>
    </border>
    <border>
      <left>
        <color indexed="63"/>
      </left>
      <right style="thin">
        <color indexed="8"/>
      </right>
      <top style="thin">
        <color indexed="42"/>
      </top>
      <bottom style="thin">
        <color indexed="42"/>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9"/>
      </bottom>
    </border>
    <border>
      <left>
        <color indexed="63"/>
      </left>
      <right style="thin">
        <color indexed="8"/>
      </right>
      <top>
        <color indexed="63"/>
      </top>
      <bottom style="thin">
        <color indexed="9"/>
      </bottom>
    </border>
    <border>
      <left style="thin">
        <color indexed="22"/>
      </left>
      <right style="thin">
        <color indexed="55"/>
      </right>
      <top>
        <color indexed="63"/>
      </top>
      <bottom style="thin">
        <color indexed="22"/>
      </bottom>
    </border>
    <border>
      <left style="thin">
        <color indexed="8"/>
      </left>
      <right style="thin">
        <color indexed="8"/>
      </right>
      <top>
        <color indexed="63"/>
      </top>
      <bottom>
        <color indexed="63"/>
      </bottom>
    </border>
    <border>
      <left>
        <color indexed="63"/>
      </left>
      <right style="thin">
        <color indexed="9"/>
      </right>
      <top>
        <color indexed="63"/>
      </top>
      <bottom style="thin">
        <color indexed="9"/>
      </bottom>
    </border>
    <border>
      <left style="thin">
        <color indexed="8"/>
      </left>
      <right style="thin">
        <color indexed="8"/>
      </right>
      <top style="thin">
        <color indexed="9"/>
      </top>
      <bottom style="thin">
        <color indexed="9"/>
      </bottom>
    </border>
    <border>
      <left style="thin">
        <color indexed="9"/>
      </left>
      <right>
        <color indexed="63"/>
      </right>
      <top style="thin">
        <color indexed="9"/>
      </top>
      <bottom style="thin">
        <color indexed="9"/>
      </bottom>
    </border>
    <border>
      <left style="hair">
        <color indexed="8"/>
      </left>
      <right style="thin">
        <color indexed="9"/>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style="thin">
        <color indexed="8"/>
      </bottom>
    </border>
    <border>
      <left style="thin">
        <color indexed="8"/>
      </left>
      <right>
        <color indexed="63"/>
      </right>
      <top>
        <color indexed="63"/>
      </top>
      <bottom style="thin">
        <color indexed="9"/>
      </bottom>
    </border>
    <border>
      <left>
        <color indexed="63"/>
      </left>
      <right style="thin">
        <color indexed="8"/>
      </right>
      <top style="thin">
        <color indexed="42"/>
      </top>
      <bottom>
        <color indexed="63"/>
      </bottom>
    </border>
    <border>
      <left style="thin">
        <color indexed="8"/>
      </left>
      <right style="thin">
        <color indexed="9"/>
      </right>
      <top style="thin">
        <color indexed="8"/>
      </top>
      <bottom style="thin">
        <color indexed="9"/>
      </bottom>
    </border>
    <border>
      <left style="thin">
        <color indexed="8"/>
      </left>
      <right style="thin">
        <color indexed="55"/>
      </right>
      <top style="thin">
        <color indexed="55"/>
      </top>
      <bottom>
        <color indexed="63"/>
      </bottom>
    </border>
    <border>
      <left style="thin">
        <color indexed="55"/>
      </left>
      <right style="thin">
        <color indexed="22"/>
      </right>
      <top style="thin">
        <color indexed="26"/>
      </top>
      <bottom style="thin">
        <color indexed="55"/>
      </bottom>
    </border>
    <border>
      <left style="thin">
        <color indexed="8"/>
      </left>
      <right style="thin">
        <color indexed="55"/>
      </right>
      <top style="thin">
        <color indexed="22"/>
      </top>
      <bottom style="thin">
        <color indexed="22"/>
      </bottom>
    </border>
    <border>
      <left style="thin">
        <color indexed="8"/>
      </left>
      <right style="thin">
        <color indexed="22"/>
      </right>
      <top style="thin">
        <color indexed="55"/>
      </top>
      <bottom style="thin">
        <color indexed="55"/>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8"/>
      </right>
      <top>
        <color indexed="63"/>
      </top>
      <bottom style="thin">
        <color indexed="22"/>
      </bottom>
    </border>
    <border>
      <left style="thin">
        <color indexed="8"/>
      </left>
      <right style="thin">
        <color indexed="55"/>
      </right>
      <top>
        <color indexed="63"/>
      </top>
      <bottom style="thin">
        <color indexed="22"/>
      </bottom>
    </border>
    <border>
      <left style="thin">
        <color indexed="8"/>
      </left>
      <right style="thin">
        <color indexed="22"/>
      </right>
      <top>
        <color indexed="63"/>
      </top>
      <bottom>
        <color indexed="63"/>
      </bottom>
    </border>
    <border>
      <left style="thin">
        <color indexed="8"/>
      </left>
      <right style="thin">
        <color indexed="22"/>
      </right>
      <top style="thin">
        <color indexed="55"/>
      </top>
      <bottom>
        <color indexed="63"/>
      </bottom>
    </border>
    <border>
      <left style="thin">
        <color indexed="8"/>
      </left>
      <right style="thin">
        <color indexed="22"/>
      </right>
      <top>
        <color indexed="63"/>
      </top>
      <bottom style="thin">
        <color indexed="8"/>
      </bottom>
    </border>
    <border>
      <left style="thin">
        <color indexed="55"/>
      </left>
      <right style="thin">
        <color indexed="22"/>
      </right>
      <top style="thin">
        <color indexed="22"/>
      </top>
      <bottom style="thin">
        <color indexed="8"/>
      </bottom>
    </border>
    <border>
      <left>
        <color indexed="63"/>
      </left>
      <right style="thin">
        <color indexed="22"/>
      </right>
      <top>
        <color indexed="63"/>
      </top>
      <bottom style="thin">
        <color indexed="8"/>
      </bottom>
    </border>
    <border>
      <left style="thin">
        <color indexed="22"/>
      </left>
      <right style="thin">
        <color indexed="22"/>
      </right>
      <top>
        <color indexed="63"/>
      </top>
      <bottom style="thin">
        <color indexed="8"/>
      </bottom>
    </border>
    <border>
      <left style="thin">
        <color indexed="22"/>
      </left>
      <right style="thin">
        <color indexed="8"/>
      </right>
      <top>
        <color indexed="63"/>
      </top>
      <bottom style="thin">
        <color indexed="8"/>
      </bottom>
    </border>
    <border>
      <left>
        <color indexed="63"/>
      </left>
      <right style="thin">
        <color indexed="9"/>
      </right>
      <top style="thin">
        <color indexed="8"/>
      </top>
      <bottom>
        <color indexed="63"/>
      </bottom>
    </border>
    <border>
      <left style="thin">
        <color indexed="8"/>
      </left>
      <right style="thin">
        <color indexed="22"/>
      </right>
      <top>
        <color indexed="63"/>
      </top>
      <bottom style="thin">
        <color indexed="22"/>
      </bottom>
    </border>
    <border>
      <left style="thin">
        <color indexed="55"/>
      </left>
      <right style="thin">
        <color indexed="55"/>
      </right>
      <top style="thin">
        <color indexed="55"/>
      </top>
      <bottom style="thin">
        <color indexed="55"/>
      </bottom>
    </border>
    <border>
      <left>
        <color indexed="63"/>
      </left>
      <right>
        <color indexed="63"/>
      </right>
      <top>
        <color indexed="63"/>
      </top>
      <bottom style="thin">
        <color indexed="22"/>
      </bottom>
    </border>
    <border>
      <left style="thin">
        <color indexed="8"/>
      </left>
      <right style="thin">
        <color indexed="55"/>
      </right>
      <top>
        <color indexed="63"/>
      </top>
      <bottom>
        <color indexed="63"/>
      </bottom>
    </border>
    <border>
      <left style="thin">
        <color indexed="55"/>
      </left>
      <right style="thin">
        <color indexed="8"/>
      </right>
      <top style="thin">
        <color indexed="8"/>
      </top>
      <bottom style="medium">
        <color indexed="8"/>
      </bottom>
    </border>
    <border>
      <left style="double">
        <color indexed="8"/>
      </left>
      <right style="double">
        <color indexed="8"/>
      </right>
      <top style="double">
        <color indexed="8"/>
      </top>
      <bottom style="double">
        <color indexed="8"/>
      </bottom>
    </border>
    <border>
      <left style="double">
        <color indexed="8"/>
      </left>
      <right style="medium">
        <color indexed="8"/>
      </right>
      <top style="medium">
        <color indexed="8"/>
      </top>
      <bottom style="medium">
        <color indexed="8"/>
      </bottom>
    </border>
    <border>
      <left style="double">
        <color indexed="8"/>
      </left>
      <right>
        <color indexed="63"/>
      </right>
      <top style="medium">
        <color indexed="8"/>
      </top>
      <bottom>
        <color indexed="63"/>
      </bottom>
    </border>
    <border>
      <left style="thin">
        <color indexed="8"/>
      </left>
      <right>
        <color indexed="63"/>
      </right>
      <top>
        <color indexed="63"/>
      </top>
      <bottom style="thin">
        <color indexed="55"/>
      </bottom>
    </border>
    <border>
      <left>
        <color indexed="63"/>
      </left>
      <right style="thin">
        <color indexed="8"/>
      </right>
      <top style="medium">
        <color indexed="8"/>
      </top>
      <bottom style="thin">
        <color indexed="8"/>
      </bottom>
    </border>
    <border>
      <left style="thin">
        <color indexed="8"/>
      </left>
      <right style="thin">
        <color indexed="55"/>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style="medium">
        <color indexed="8"/>
      </top>
      <bottom>
        <color indexed="63"/>
      </bottom>
    </border>
    <border>
      <left style="thin">
        <color indexed="22"/>
      </left>
      <right>
        <color indexed="63"/>
      </right>
      <top style="medium">
        <color indexed="8"/>
      </top>
      <bottom style="thin">
        <color indexed="44"/>
      </bottom>
    </border>
    <border>
      <left style="thin">
        <color indexed="22"/>
      </left>
      <right style="thin">
        <color indexed="22"/>
      </right>
      <top style="medium">
        <color indexed="8"/>
      </top>
      <bottom style="thin">
        <color indexed="44"/>
      </bottom>
    </border>
    <border>
      <left>
        <color indexed="63"/>
      </left>
      <right>
        <color indexed="63"/>
      </right>
      <top style="medium">
        <color indexed="8"/>
      </top>
      <bottom>
        <color indexed="63"/>
      </bottom>
    </border>
    <border>
      <left style="thin">
        <color indexed="22"/>
      </left>
      <right style="medium">
        <color indexed="8"/>
      </right>
      <top style="medium">
        <color indexed="8"/>
      </top>
      <bottom>
        <color indexed="63"/>
      </bottom>
    </border>
    <border>
      <left style="medium">
        <color indexed="8"/>
      </left>
      <right style="thin">
        <color indexed="44"/>
      </right>
      <top>
        <color indexed="63"/>
      </top>
      <bottom>
        <color indexed="63"/>
      </bottom>
    </border>
    <border>
      <left style="thin">
        <color indexed="44"/>
      </left>
      <right style="thin">
        <color indexed="44"/>
      </right>
      <top style="thin">
        <color indexed="44"/>
      </top>
      <bottom style="thin">
        <color indexed="44"/>
      </bottom>
    </border>
    <border>
      <left style="thin">
        <color indexed="22"/>
      </left>
      <right style="medium">
        <color indexed="8"/>
      </right>
      <top>
        <color indexed="63"/>
      </top>
      <bottom>
        <color indexed="63"/>
      </bottom>
    </border>
    <border>
      <left style="thin">
        <color indexed="22"/>
      </left>
      <right style="thin">
        <color indexed="22"/>
      </right>
      <top style="thin">
        <color indexed="44"/>
      </top>
      <bottom style="thin">
        <color indexed="22"/>
      </bottom>
    </border>
    <border>
      <left>
        <color indexed="63"/>
      </left>
      <right style="thin">
        <color indexed="22"/>
      </right>
      <top style="thin">
        <color indexed="44"/>
      </top>
      <bottom style="thin">
        <color indexed="22"/>
      </bottom>
    </border>
    <border>
      <left style="medium">
        <color indexed="8"/>
      </left>
      <right>
        <color indexed="63"/>
      </right>
      <top>
        <color indexed="63"/>
      </top>
      <bottom style="thin">
        <color indexed="22"/>
      </bottom>
    </border>
    <border>
      <left style="medium">
        <color indexed="8"/>
      </left>
      <right>
        <color indexed="63"/>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color indexed="63"/>
      </top>
      <bottom style="thin">
        <color indexed="9"/>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medium">
        <color indexed="8"/>
      </left>
      <right>
        <color indexed="63"/>
      </right>
      <top>
        <color indexed="63"/>
      </top>
      <bottom style="medium">
        <color indexed="8"/>
      </bottom>
    </border>
    <border>
      <left style="thin">
        <color indexed="22"/>
      </left>
      <right style="thin">
        <color indexed="22"/>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thin">
        <color indexed="44"/>
      </top>
      <bottom>
        <color indexed="63"/>
      </bottom>
    </border>
    <border>
      <left style="thin">
        <color indexed="55"/>
      </left>
      <right style="thin">
        <color indexed="22"/>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style="thin">
        <color indexed="22"/>
      </right>
      <top style="thin">
        <color indexed="55"/>
      </top>
      <bottom style="thin">
        <color indexed="55"/>
      </bottom>
    </border>
    <border>
      <left style="thin">
        <color indexed="55"/>
      </left>
      <right>
        <color indexed="63"/>
      </right>
      <top>
        <color indexed="63"/>
      </top>
      <bottom style="thin">
        <color indexed="60"/>
      </bottom>
    </border>
    <border>
      <left>
        <color indexed="63"/>
      </left>
      <right>
        <color indexed="63"/>
      </right>
      <top>
        <color indexed="63"/>
      </top>
      <bottom style="thin">
        <color indexed="60"/>
      </bottom>
    </border>
    <border>
      <left style="thin">
        <color indexed="55"/>
      </left>
      <right style="thin">
        <color indexed="22"/>
      </right>
      <top style="thin">
        <color indexed="22"/>
      </top>
      <bottom style="double">
        <color indexed="60"/>
      </bottom>
    </border>
    <border>
      <left style="thin">
        <color indexed="22"/>
      </left>
      <right style="thin">
        <color indexed="55"/>
      </right>
      <top style="thin">
        <color indexed="22"/>
      </top>
      <bottom style="double">
        <color indexed="60"/>
      </bottom>
    </border>
    <border>
      <left>
        <color indexed="63"/>
      </left>
      <right>
        <color indexed="63"/>
      </right>
      <top>
        <color indexed="63"/>
      </top>
      <bottom style="double">
        <color indexed="60"/>
      </bottom>
    </border>
    <border>
      <left style="thin">
        <color indexed="55"/>
      </left>
      <right>
        <color indexed="63"/>
      </right>
      <top>
        <color indexed="63"/>
      </top>
      <bottom>
        <color indexed="63"/>
      </bottom>
    </border>
    <border>
      <left style="thin">
        <color indexed="55"/>
      </left>
      <right>
        <color indexed="63"/>
      </right>
      <top>
        <color indexed="63"/>
      </top>
      <bottom style="double">
        <color indexed="60"/>
      </bottom>
    </border>
    <border>
      <left style="thin">
        <color indexed="55"/>
      </left>
      <right style="thin">
        <color indexed="22"/>
      </right>
      <top style="double">
        <color indexed="60"/>
      </top>
      <bottom style="double">
        <color indexed="60"/>
      </bottom>
    </border>
    <border>
      <left style="thin">
        <color indexed="22"/>
      </left>
      <right style="thin">
        <color indexed="55"/>
      </right>
      <top style="double">
        <color indexed="60"/>
      </top>
      <bottom style="double">
        <color indexed="60"/>
      </bottom>
    </border>
    <border>
      <left style="thin">
        <color indexed="55"/>
      </left>
      <right>
        <color indexed="63"/>
      </right>
      <top style="double">
        <color indexed="60"/>
      </top>
      <bottom style="double">
        <color indexed="60"/>
      </bottom>
    </border>
    <border>
      <left>
        <color indexed="63"/>
      </left>
      <right>
        <color indexed="63"/>
      </right>
      <top style="double">
        <color indexed="60"/>
      </top>
      <bottom style="double">
        <color indexed="60"/>
      </bottom>
    </border>
    <border>
      <left>
        <color indexed="63"/>
      </left>
      <right>
        <color indexed="63"/>
      </right>
      <top style="thin">
        <color indexed="26"/>
      </top>
      <bottom style="thin">
        <color indexed="55"/>
      </bottom>
    </border>
    <border>
      <left style="thin">
        <color indexed="8"/>
      </left>
      <right style="thin">
        <color indexed="22"/>
      </right>
      <top style="thin">
        <color indexed="8"/>
      </top>
      <bottom style="thin">
        <color indexed="22"/>
      </bottom>
    </border>
    <border>
      <left>
        <color indexed="63"/>
      </left>
      <right style="thin">
        <color indexed="60"/>
      </right>
      <top style="thin">
        <color indexed="8"/>
      </top>
      <bottom>
        <color indexed="63"/>
      </bottom>
    </border>
    <border>
      <left style="thin">
        <color indexed="60"/>
      </left>
      <right>
        <color indexed="63"/>
      </right>
      <top style="thin">
        <color indexed="8"/>
      </top>
      <bottom>
        <color indexed="63"/>
      </bottom>
    </border>
    <border>
      <left style="thin">
        <color indexed="60"/>
      </left>
      <right style="thin">
        <color indexed="60"/>
      </right>
      <top style="thin">
        <color indexed="60"/>
      </top>
      <bottom style="thin">
        <color indexed="60"/>
      </bottom>
    </border>
    <border>
      <left style="thin">
        <color indexed="60"/>
      </left>
      <right>
        <color indexed="63"/>
      </right>
      <top style="thin">
        <color indexed="60"/>
      </top>
      <bottom style="thin">
        <color indexed="60"/>
      </bottom>
    </border>
    <border>
      <left>
        <color indexed="63"/>
      </left>
      <right style="thin">
        <color indexed="60"/>
      </right>
      <top style="thin">
        <color indexed="60"/>
      </top>
      <bottom style="thin">
        <color indexed="8"/>
      </bottom>
    </border>
    <border>
      <left style="thin">
        <color indexed="60"/>
      </left>
      <right>
        <color indexed="63"/>
      </right>
      <top style="thin">
        <color indexed="60"/>
      </top>
      <bottom style="thin">
        <color indexed="8"/>
      </bottom>
    </border>
    <border>
      <left style="thin">
        <color indexed="23"/>
      </left>
      <right style="thin">
        <color indexed="62"/>
      </right>
      <top style="thin">
        <color indexed="62"/>
      </top>
      <bottom style="thin">
        <color indexed="44"/>
      </bottom>
    </border>
    <border>
      <left style="thin">
        <color indexed="23"/>
      </left>
      <right style="thin">
        <color indexed="62"/>
      </right>
      <top>
        <color indexed="63"/>
      </top>
      <bottom style="thin">
        <color indexed="62"/>
      </bottom>
    </border>
    <border>
      <left style="thin">
        <color indexed="60"/>
      </left>
      <right style="thin">
        <color indexed="60"/>
      </right>
      <top>
        <color indexed="63"/>
      </top>
      <bottom style="thin">
        <color indexed="60"/>
      </bottom>
    </border>
    <border>
      <left>
        <color indexed="63"/>
      </left>
      <right style="thin">
        <color indexed="22"/>
      </right>
      <top style="thin">
        <color indexed="55"/>
      </top>
      <bottom style="thin">
        <color indexed="22"/>
      </bottom>
    </border>
    <border>
      <left style="thin">
        <color indexed="22"/>
      </left>
      <right>
        <color indexed="63"/>
      </right>
      <top style="thin">
        <color indexed="55"/>
      </top>
      <bottom>
        <color indexed="63"/>
      </bottom>
    </border>
    <border>
      <left>
        <color indexed="63"/>
      </left>
      <right style="thin">
        <color indexed="55"/>
      </right>
      <top style="thin">
        <color indexed="22"/>
      </top>
      <bottom style="double">
        <color indexed="60"/>
      </bottom>
    </border>
    <border>
      <left>
        <color indexed="63"/>
      </left>
      <right style="thin">
        <color indexed="22"/>
      </right>
      <top style="thin">
        <color indexed="22"/>
      </top>
      <bottom style="double">
        <color indexed="60"/>
      </bottom>
    </border>
    <border>
      <left>
        <color indexed="63"/>
      </left>
      <right style="thin">
        <color indexed="55"/>
      </right>
      <top>
        <color indexed="63"/>
      </top>
      <bottom style="double">
        <color indexed="60"/>
      </bottom>
    </border>
    <border>
      <left style="thin">
        <color indexed="55"/>
      </left>
      <right style="thin">
        <color indexed="55"/>
      </right>
      <top style="thin">
        <color indexed="22"/>
      </top>
      <bottom style="double">
        <color indexed="60"/>
      </bottom>
    </border>
    <border>
      <left style="thin">
        <color indexed="22"/>
      </left>
      <right style="thin">
        <color indexed="22"/>
      </right>
      <top style="thin">
        <color indexed="55"/>
      </top>
      <bottom style="thin">
        <color indexed="55"/>
      </bottom>
    </border>
    <border>
      <left>
        <color indexed="63"/>
      </left>
      <right style="thin">
        <color theme="4" tint="0.5999900102615356"/>
      </right>
      <top style="thin">
        <color indexed="62"/>
      </top>
      <bottom style="thin">
        <color indexed="62"/>
      </bottom>
    </border>
    <border>
      <left>
        <color indexed="63"/>
      </left>
      <right style="thin">
        <color indexed="62"/>
      </right>
      <top style="thin">
        <color indexed="62"/>
      </top>
      <bottom style="thin">
        <color indexed="42"/>
      </bottom>
    </border>
    <border>
      <left>
        <color indexed="63"/>
      </left>
      <right style="thin">
        <color indexed="62"/>
      </right>
      <top style="thin">
        <color indexed="42"/>
      </top>
      <bottom style="thin">
        <color indexed="42"/>
      </bottom>
    </border>
    <border>
      <left>
        <color indexed="63"/>
      </left>
      <right style="thin">
        <color indexed="62"/>
      </right>
      <top style="thin">
        <color indexed="42"/>
      </top>
      <bottom style="thin">
        <color indexed="62"/>
      </bottom>
    </border>
    <border>
      <left>
        <color indexed="63"/>
      </left>
      <right style="thin">
        <color indexed="62"/>
      </right>
      <top>
        <color indexed="63"/>
      </top>
      <bottom style="thin">
        <color indexed="42"/>
      </bottom>
    </border>
    <border>
      <left>
        <color indexed="63"/>
      </left>
      <right style="thin">
        <color indexed="8"/>
      </right>
      <top>
        <color indexed="63"/>
      </top>
      <bottom style="thin">
        <color indexed="62"/>
      </bottom>
    </border>
    <border>
      <left>
        <color indexed="63"/>
      </left>
      <right style="thin">
        <color indexed="8"/>
      </right>
      <top style="thin">
        <color indexed="62"/>
      </top>
      <bottom style="thin">
        <color indexed="22"/>
      </bottom>
    </border>
    <border>
      <left>
        <color indexed="63"/>
      </left>
      <right style="thin">
        <color indexed="8"/>
      </right>
      <top style="thin">
        <color indexed="62"/>
      </top>
      <bottom style="thin">
        <color indexed="42"/>
      </bottom>
    </border>
    <border>
      <left>
        <color indexed="63"/>
      </left>
      <right style="thin">
        <color indexed="62"/>
      </right>
      <top style="thin">
        <color indexed="42"/>
      </top>
      <bottom>
        <color indexed="63"/>
      </bottom>
    </border>
    <border>
      <left style="thin">
        <color indexed="8"/>
      </left>
      <right style="dashed">
        <color theme="4" tint="0.5999900102615356"/>
      </right>
      <top style="thin">
        <color indexed="62"/>
      </top>
      <bottom style="thin">
        <color indexed="42"/>
      </bottom>
    </border>
    <border>
      <left style="thin">
        <color indexed="8"/>
      </left>
      <right style="dashed">
        <color theme="4" tint="0.5999900102615356"/>
      </right>
      <top style="thin">
        <color indexed="42"/>
      </top>
      <bottom style="thin">
        <color indexed="42"/>
      </bottom>
    </border>
    <border>
      <left style="thin">
        <color indexed="8"/>
      </left>
      <right style="dashed">
        <color theme="4" tint="0.5999900102615356"/>
      </right>
      <top style="thin">
        <color indexed="42"/>
      </top>
      <bottom style="thin">
        <color indexed="62"/>
      </bottom>
    </border>
    <border>
      <left style="thin">
        <color indexed="62"/>
      </left>
      <right style="dashed">
        <color theme="4" tint="0.5999900102615356"/>
      </right>
      <top style="thin">
        <color indexed="42"/>
      </top>
      <bottom style="thin">
        <color indexed="42"/>
      </bottom>
    </border>
    <border>
      <left style="thin">
        <color indexed="62"/>
      </left>
      <right style="dashed">
        <color theme="4" tint="0.5999900102615356"/>
      </right>
      <top style="thin">
        <color indexed="42"/>
      </top>
      <bottom style="thin">
        <color indexed="62"/>
      </bottom>
    </border>
    <border>
      <left>
        <color indexed="63"/>
      </left>
      <right style="dashed">
        <color theme="4" tint="0.5999900102615356"/>
      </right>
      <top style="thin">
        <color indexed="62"/>
      </top>
      <bottom style="thin">
        <color indexed="22"/>
      </bottom>
    </border>
    <border>
      <left style="thin">
        <color indexed="62"/>
      </left>
      <right style="dashed">
        <color theme="4" tint="0.5999900102615356"/>
      </right>
      <top style="thin">
        <color indexed="62"/>
      </top>
      <bottom style="thin">
        <color indexed="42"/>
      </bottom>
    </border>
    <border>
      <left>
        <color indexed="63"/>
      </left>
      <right style="thin">
        <color indexed="62"/>
      </right>
      <top style="thin">
        <color indexed="62"/>
      </top>
      <bottom style="thin">
        <color indexed="62"/>
      </bottom>
    </border>
    <border>
      <left style="thin">
        <color indexed="8"/>
      </left>
      <right style="dashed">
        <color theme="4" tint="0.5999900102615356"/>
      </right>
      <top style="thin">
        <color indexed="62"/>
      </top>
      <bottom style="thin">
        <color indexed="62"/>
      </bottom>
    </border>
    <border>
      <left>
        <color indexed="63"/>
      </left>
      <right style="dashed">
        <color theme="4" tint="0.5999900102615356"/>
      </right>
      <top style="thin">
        <color indexed="62"/>
      </top>
      <bottom style="thin">
        <color indexed="62"/>
      </bottom>
    </border>
    <border>
      <left style="thin">
        <color indexed="62"/>
      </left>
      <right style="dashed">
        <color theme="4" tint="0.5999900102615356"/>
      </right>
      <top style="thin">
        <color indexed="62"/>
      </top>
      <bottom style="thin">
        <color indexed="62"/>
      </bottom>
    </border>
    <border>
      <left style="thin">
        <color theme="4" tint="0.5999900102615356"/>
      </left>
      <right style="dashed">
        <color theme="4" tint="0.5999900102615356"/>
      </right>
      <top style="thin">
        <color indexed="55"/>
      </top>
      <bottom style="thin">
        <color indexed="62"/>
      </bottom>
    </border>
    <border>
      <left style="thin">
        <color theme="4" tint="0.5999900102615356"/>
      </left>
      <right>
        <color indexed="63"/>
      </right>
      <top style="thin">
        <color indexed="62"/>
      </top>
      <bottom style="thin">
        <color indexed="62"/>
      </bottom>
    </border>
    <border>
      <left style="thin">
        <color theme="4" tint="-0.24997000396251678"/>
      </left>
      <right style="thin">
        <color indexed="8"/>
      </right>
      <top style="thin">
        <color indexed="62"/>
      </top>
      <bottom style="thin">
        <color indexed="62"/>
      </bottom>
    </border>
    <border>
      <left>
        <color indexed="63"/>
      </left>
      <right>
        <color indexed="63"/>
      </right>
      <top style="thin">
        <color indexed="22"/>
      </top>
      <bottom style="thin">
        <color indexed="62"/>
      </bottom>
    </border>
    <border>
      <left style="thin">
        <color theme="4" tint="-0.24997000396251678"/>
      </left>
      <right style="thin">
        <color indexed="8"/>
      </right>
      <top style="thin">
        <color indexed="22"/>
      </top>
      <bottom style="thin">
        <color indexed="62"/>
      </bottom>
    </border>
    <border>
      <left>
        <color indexed="63"/>
      </left>
      <right>
        <color indexed="63"/>
      </right>
      <top style="thin">
        <color indexed="62"/>
      </top>
      <bottom style="thin">
        <color indexed="55"/>
      </bottom>
    </border>
    <border>
      <left style="thin">
        <color theme="4" tint="-0.24997000396251678"/>
      </left>
      <right style="thin">
        <color indexed="8"/>
      </right>
      <top style="thin">
        <color indexed="62"/>
      </top>
      <bottom style="thin">
        <color indexed="55"/>
      </bottom>
    </border>
    <border>
      <left>
        <color indexed="63"/>
      </left>
      <right>
        <color indexed="63"/>
      </right>
      <top>
        <color indexed="63"/>
      </top>
      <bottom style="thin"/>
    </border>
    <border>
      <left style="thin">
        <color indexed="8"/>
      </left>
      <right>
        <color indexed="63"/>
      </right>
      <top>
        <color indexed="63"/>
      </top>
      <bottom style="thin">
        <color theme="9" tint="-0.4999699890613556"/>
      </bottom>
    </border>
    <border>
      <left style="thin">
        <color indexed="9"/>
      </left>
      <right>
        <color indexed="63"/>
      </right>
      <top>
        <color indexed="63"/>
      </top>
      <bottom style="thin">
        <color theme="9" tint="-0.4999699890613556"/>
      </bottom>
    </border>
    <border>
      <left style="thin">
        <color indexed="9"/>
      </left>
      <right style="thin">
        <color indexed="8"/>
      </right>
      <top>
        <color indexed="63"/>
      </top>
      <bottom style="thin">
        <color theme="9" tint="-0.4999699890613556"/>
      </bottom>
    </border>
    <border>
      <left>
        <color indexed="63"/>
      </left>
      <right>
        <color indexed="63"/>
      </right>
      <top>
        <color indexed="63"/>
      </top>
      <bottom style="thin">
        <color theme="9" tint="-0.4999699890613556"/>
      </bottom>
    </border>
    <border>
      <left style="thin">
        <color indexed="8"/>
      </left>
      <right>
        <color indexed="63"/>
      </right>
      <top style="thin">
        <color theme="9" tint="-0.4999699890613556"/>
      </top>
      <bottom style="thin">
        <color theme="9" tint="-0.4999699890613556"/>
      </bottom>
    </border>
    <border>
      <left>
        <color indexed="63"/>
      </left>
      <right>
        <color indexed="63"/>
      </right>
      <top style="thin">
        <color theme="9" tint="-0.4999699890613556"/>
      </top>
      <bottom style="thin">
        <color theme="9" tint="-0.4999699890613556"/>
      </bottom>
    </border>
    <border>
      <left>
        <color indexed="63"/>
      </left>
      <right style="thin">
        <color indexed="8"/>
      </right>
      <top style="thin">
        <color theme="9" tint="-0.4999699890613556"/>
      </top>
      <bottom style="thin">
        <color theme="9" tint="-0.4999699890613556"/>
      </bottom>
    </border>
    <border>
      <left>
        <color indexed="63"/>
      </left>
      <right style="thin">
        <color theme="9" tint="-0.4999699890613556"/>
      </right>
      <top style="thin">
        <color theme="9" tint="-0.4999699890613556"/>
      </top>
      <bottom>
        <color indexed="63"/>
      </bottom>
    </border>
    <border>
      <left>
        <color indexed="63"/>
      </left>
      <right style="thin">
        <color theme="9" tint="-0.4999699890613556"/>
      </right>
      <top>
        <color indexed="63"/>
      </top>
      <bottom>
        <color indexed="63"/>
      </bottom>
    </border>
    <border>
      <left style="thin">
        <color theme="9" tint="-0.4999699890613556"/>
      </left>
      <right style="medium">
        <color indexed="8"/>
      </right>
      <top>
        <color indexed="63"/>
      </top>
      <bottom style="thin">
        <color theme="9" tint="-0.4999699890613556"/>
      </bottom>
    </border>
    <border>
      <left style="medium">
        <color indexed="8"/>
      </left>
      <right>
        <color indexed="63"/>
      </right>
      <top>
        <color indexed="63"/>
      </top>
      <bottom style="thin">
        <color theme="9" tint="-0.4999699890613556"/>
      </bottom>
    </border>
    <border>
      <left>
        <color indexed="63"/>
      </left>
      <right style="thin">
        <color indexed="8"/>
      </right>
      <top>
        <color indexed="63"/>
      </top>
      <bottom style="thin">
        <color theme="9" tint="-0.4999699890613556"/>
      </bottom>
    </border>
    <border>
      <left style="thin">
        <color indexed="8"/>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indexed="8"/>
      </right>
      <top>
        <color indexed="63"/>
      </top>
      <bottom style="thin">
        <color rgb="FF0070C0"/>
      </bottom>
    </border>
    <border>
      <left>
        <color indexed="63"/>
      </left>
      <right style="medium">
        <color indexed="8"/>
      </right>
      <top>
        <color indexed="63"/>
      </top>
      <bottom style="thin">
        <color rgb="FF0070C0"/>
      </bottom>
    </border>
    <border>
      <left style="thin">
        <color indexed="8"/>
      </left>
      <right>
        <color indexed="63"/>
      </right>
      <top style="thin">
        <color rgb="FF0070C0"/>
      </top>
      <bottom style="thin">
        <color rgb="FF0070C0"/>
      </bottom>
    </border>
    <border>
      <left style="thin">
        <color indexed="9"/>
      </left>
      <right>
        <color indexed="63"/>
      </right>
      <top style="thin">
        <color rgb="FF0070C0"/>
      </top>
      <bottom style="thin">
        <color rgb="FF0070C0"/>
      </bottom>
    </border>
    <border>
      <left style="thin">
        <color indexed="9"/>
      </left>
      <right style="thin">
        <color indexed="8"/>
      </right>
      <top style="thin">
        <color rgb="FF0070C0"/>
      </top>
      <bottom style="thin">
        <color rgb="FF0070C0"/>
      </bottom>
    </border>
    <border>
      <left>
        <color indexed="63"/>
      </left>
      <right>
        <color indexed="63"/>
      </right>
      <top style="thin">
        <color rgb="FF0070C0"/>
      </top>
      <bottom style="thin">
        <color rgb="FF0070C0"/>
      </bottom>
    </border>
    <border>
      <left style="medium">
        <color indexed="8"/>
      </left>
      <right style="thin">
        <color rgb="FF0070C0"/>
      </right>
      <top style="thin">
        <color rgb="FF0070C0"/>
      </top>
      <bottom>
        <color indexed="63"/>
      </bottom>
    </border>
    <border>
      <left style="medium">
        <color indexed="8"/>
      </left>
      <right style="thin">
        <color rgb="FF0070C0"/>
      </right>
      <top>
        <color indexed="63"/>
      </top>
      <bottom>
        <color indexed="63"/>
      </bottom>
    </border>
    <border>
      <left style="thin">
        <color rgb="FF0070C0"/>
      </left>
      <right style="thin">
        <color indexed="42"/>
      </right>
      <top>
        <color indexed="63"/>
      </top>
      <bottom style="thin">
        <color rgb="FF0070C0"/>
      </bottom>
    </border>
    <border>
      <left style="thin">
        <color indexed="42"/>
      </left>
      <right style="thin">
        <color indexed="8"/>
      </right>
      <top>
        <color indexed="63"/>
      </top>
      <bottom style="thin">
        <color rgb="FF0070C0"/>
      </bottom>
    </border>
    <border>
      <left style="thin">
        <color indexed="8"/>
      </left>
      <right style="thin">
        <color indexed="9"/>
      </right>
      <top>
        <color indexed="63"/>
      </top>
      <bottom style="thin">
        <color rgb="FF0070C0"/>
      </bottom>
    </border>
    <border>
      <left style="thin">
        <color indexed="9"/>
      </left>
      <right>
        <color indexed="63"/>
      </right>
      <top>
        <color indexed="63"/>
      </top>
      <bottom style="thin">
        <color rgb="FF0070C0"/>
      </bottom>
    </border>
    <border>
      <left style="thin">
        <color indexed="9"/>
      </left>
      <right style="thin">
        <color indexed="8"/>
      </right>
      <top>
        <color indexed="63"/>
      </top>
      <bottom style="thin">
        <color rgb="FF0070C0"/>
      </bottom>
    </border>
    <border>
      <left style="thin">
        <color rgb="FF0070C0"/>
      </left>
      <right>
        <color indexed="63"/>
      </right>
      <top>
        <color indexed="63"/>
      </top>
      <bottom>
        <color indexed="63"/>
      </bottom>
    </border>
    <border>
      <left>
        <color indexed="63"/>
      </left>
      <right style="thin">
        <color rgb="FF0070C0"/>
      </right>
      <top style="thin">
        <color rgb="FF0070C0"/>
      </top>
      <bottom style="thin">
        <color rgb="FF0070C0"/>
      </bottom>
    </border>
    <border>
      <left style="thin">
        <color indexed="8"/>
      </left>
      <right style="thin">
        <color theme="4" tint="0.7999799847602844"/>
      </right>
      <top style="thin">
        <color rgb="FF0070C0"/>
      </top>
      <bottom style="thin">
        <color rgb="FF0070C0"/>
      </bottom>
    </border>
    <border>
      <left style="thin">
        <color theme="9" tint="-0.4999699890613556"/>
      </left>
      <right>
        <color indexed="63"/>
      </right>
      <top>
        <color indexed="63"/>
      </top>
      <bottom>
        <color indexed="63"/>
      </bottom>
    </border>
    <border>
      <left style="thin">
        <color indexed="8"/>
      </left>
      <right style="thin">
        <color indexed="55"/>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thin"/>
      <bottom style="thin">
        <color indexed="8"/>
      </bottom>
    </border>
    <border>
      <left>
        <color indexed="63"/>
      </left>
      <right style="thin">
        <color indexed="55"/>
      </right>
      <top style="thin">
        <color indexed="8"/>
      </top>
      <bottom style="thin">
        <color indexed="8"/>
      </bottom>
    </border>
    <border>
      <left style="thin">
        <color indexed="55"/>
      </left>
      <right style="thin">
        <color theme="0" tint="-0.3499799966812134"/>
      </right>
      <top style="thin">
        <color indexed="55"/>
      </top>
      <bottom style="thin">
        <color indexed="55"/>
      </bottom>
    </border>
    <border>
      <left style="thin">
        <color indexed="8"/>
      </left>
      <right>
        <color indexed="63"/>
      </right>
      <top style="thin">
        <color indexed="8"/>
      </top>
      <bottom style="thin">
        <color indexed="55"/>
      </bottom>
    </border>
    <border>
      <left style="thin">
        <color indexed="55"/>
      </left>
      <right style="thin">
        <color indexed="8"/>
      </right>
      <top style="thin">
        <color indexed="8"/>
      </top>
      <bottom style="thin">
        <color indexed="55"/>
      </bottom>
    </border>
    <border>
      <left style="thin">
        <color indexed="55"/>
      </left>
      <right style="thin">
        <color indexed="22"/>
      </right>
      <top style="thin">
        <color indexed="22"/>
      </top>
      <bottom style="thin"/>
    </border>
    <border>
      <left style="thin">
        <color indexed="8"/>
      </left>
      <right style="dashed">
        <color theme="4" tint="0.5999900102615356"/>
      </right>
      <top style="thin">
        <color indexed="42"/>
      </top>
      <bottom>
        <color indexed="63"/>
      </bottom>
    </border>
    <border>
      <left style="thin">
        <color indexed="62"/>
      </left>
      <right style="dashed">
        <color theme="4" tint="0.5999900102615356"/>
      </right>
      <top style="thin">
        <color indexed="42"/>
      </top>
      <bottom>
        <color indexed="63"/>
      </bottom>
    </border>
    <border>
      <left style="thin">
        <color indexed="9"/>
      </left>
      <right style="thin"/>
      <top style="thin">
        <color indexed="9"/>
      </top>
      <bottom style="thin">
        <color indexed="9"/>
      </bottom>
    </border>
    <border>
      <left style="thin">
        <color indexed="9"/>
      </left>
      <right style="thin">
        <color indexed="9"/>
      </right>
      <top style="dashed"/>
      <bottom style="thin">
        <color indexed="9"/>
      </bottom>
    </border>
    <border>
      <left>
        <color indexed="63"/>
      </left>
      <right style="thin">
        <color indexed="9"/>
      </right>
      <top style="dashed"/>
      <bottom style="thin">
        <color indexed="9"/>
      </bottom>
    </border>
    <border>
      <left style="thin">
        <color indexed="9"/>
      </left>
      <right style="thin"/>
      <top style="thin">
        <color indexed="9"/>
      </top>
      <bottom style="thin"/>
    </border>
    <border>
      <left style="thin">
        <color indexed="8"/>
      </left>
      <right style="thin">
        <color indexed="22"/>
      </right>
      <top style="thin">
        <color indexed="55"/>
      </top>
      <bottom style="thin">
        <color theme="0" tint="-0.3499799966812134"/>
      </bottom>
    </border>
    <border>
      <left style="thin">
        <color indexed="8"/>
      </left>
      <right style="thin">
        <color indexed="22"/>
      </right>
      <top style="thin">
        <color theme="0" tint="-0.3499799966812134"/>
      </top>
      <bottom style="thin">
        <color theme="0" tint="-0.3499799966812134"/>
      </bottom>
    </border>
    <border>
      <left style="thin">
        <color indexed="8"/>
      </left>
      <right style="thin">
        <color indexed="22"/>
      </right>
      <top style="thin">
        <color theme="0" tint="-0.3499799966812134"/>
      </top>
      <bottom>
        <color indexed="63"/>
      </bottom>
    </border>
    <border>
      <left style="thin">
        <color indexed="8"/>
      </left>
      <right>
        <color indexed="63"/>
      </right>
      <top style="thin">
        <color indexed="55"/>
      </top>
      <bottom style="thin">
        <color indexed="55"/>
      </bottom>
    </border>
    <border>
      <left style="thin">
        <color indexed="8"/>
      </left>
      <right>
        <color indexed="63"/>
      </right>
      <top style="thin">
        <color indexed="9"/>
      </top>
      <bottom style="thin">
        <color indexed="9"/>
      </bottom>
    </border>
    <border>
      <left style="thin">
        <color indexed="9"/>
      </left>
      <right style="thin">
        <color indexed="9"/>
      </right>
      <top style="thin">
        <color indexed="9"/>
      </top>
      <bottom style="thin">
        <color theme="0" tint="-0.24997000396251678"/>
      </bottom>
    </border>
    <border>
      <left style="medium">
        <color indexed="8"/>
      </left>
      <right style="thin">
        <color indexed="8"/>
      </right>
      <top style="thin">
        <color indexed="44"/>
      </top>
      <bottom style="thin">
        <color indexed="44"/>
      </bottom>
    </border>
    <border>
      <left style="medium">
        <color indexed="8"/>
      </left>
      <right>
        <color indexed="63"/>
      </right>
      <top>
        <color indexed="63"/>
      </top>
      <bottom style="thin">
        <color indexed="44"/>
      </bottom>
    </border>
    <border>
      <left style="thin">
        <color indexed="55"/>
      </left>
      <right>
        <color indexed="63"/>
      </right>
      <top>
        <color indexed="63"/>
      </top>
      <bottom style="thin">
        <color indexed="8"/>
      </bottom>
    </border>
    <border>
      <left style="thin">
        <color indexed="8"/>
      </left>
      <right>
        <color indexed="63"/>
      </right>
      <top style="thin"/>
      <bottom style="thin">
        <color indexed="8"/>
      </bottom>
    </border>
    <border>
      <left style="thin">
        <color indexed="8"/>
      </left>
      <right style="thin">
        <color theme="0" tint="-0.3499799966812134"/>
      </right>
      <top style="thin">
        <color indexed="8"/>
      </top>
      <bottom style="thin">
        <color indexed="8"/>
      </bottom>
    </border>
    <border>
      <left style="thin">
        <color indexed="8"/>
      </left>
      <right style="thin">
        <color theme="0" tint="-0.3499799966812134"/>
      </right>
      <top style="thin">
        <color indexed="8"/>
      </top>
      <bottom style="thin">
        <color indexed="55"/>
      </bottom>
    </border>
    <border>
      <left style="thin">
        <color indexed="8"/>
      </left>
      <right style="thin">
        <color theme="0" tint="-0.3499799966812134"/>
      </right>
      <top>
        <color indexed="63"/>
      </top>
      <bottom style="thin">
        <color indexed="55"/>
      </bottom>
    </border>
    <border>
      <left style="thin">
        <color indexed="8"/>
      </left>
      <right style="thin">
        <color theme="0" tint="-0.3499799966812134"/>
      </right>
      <top>
        <color indexed="63"/>
      </top>
      <bottom style="thin">
        <color indexed="8"/>
      </bottom>
    </border>
    <border>
      <left style="thin">
        <color theme="0" tint="-0.3499799966812134"/>
      </left>
      <right style="thin">
        <color indexed="8"/>
      </right>
      <top style="thin"/>
      <bottom style="thin">
        <color indexed="8"/>
      </bottom>
    </border>
    <border>
      <left style="thin">
        <color theme="0" tint="-0.3499799966812134"/>
      </left>
      <right style="thin">
        <color indexed="8"/>
      </right>
      <top style="thin">
        <color indexed="8"/>
      </top>
      <bottom style="thin">
        <color indexed="8"/>
      </bottom>
    </border>
    <border>
      <left style="thin">
        <color indexed="8"/>
      </left>
      <right style="thin">
        <color indexed="9"/>
      </right>
      <top style="thin">
        <color theme="0" tint="-0.3499799966812134"/>
      </top>
      <bottom style="thin">
        <color indexed="9"/>
      </bottom>
    </border>
    <border>
      <left style="thin">
        <color indexed="9"/>
      </left>
      <right style="thin">
        <color indexed="9"/>
      </right>
      <top style="thin">
        <color indexed="9"/>
      </top>
      <bottom style="thin">
        <color theme="0" tint="-0.3499799966812134"/>
      </bottom>
    </border>
    <border>
      <left style="thin">
        <color indexed="9"/>
      </left>
      <right style="thin">
        <color indexed="8"/>
      </right>
      <top style="thin">
        <color indexed="9"/>
      </top>
      <bottom style="thin">
        <color theme="0" tint="-0.3499799966812134"/>
      </bottom>
    </border>
    <border>
      <left style="thin">
        <color theme="4" tint="0.5999900102615356"/>
      </left>
      <right style="thin">
        <color theme="4" tint="-0.24997000396251678"/>
      </right>
      <top style="thin">
        <color indexed="22"/>
      </top>
      <bottom style="thin">
        <color indexed="62"/>
      </bottom>
    </border>
    <border>
      <left style="thin">
        <color theme="0" tint="-0.24997000396251678"/>
      </left>
      <right style="thin">
        <color indexed="8"/>
      </right>
      <top style="thin">
        <color indexed="55"/>
      </top>
      <bottom>
        <color indexed="63"/>
      </bottom>
    </border>
    <border>
      <left style="thin">
        <color theme="0" tint="-0.24997000396251678"/>
      </left>
      <right style="thin">
        <color indexed="8"/>
      </right>
      <top>
        <color indexed="63"/>
      </top>
      <bottom style="thin">
        <color indexed="55"/>
      </bottom>
    </border>
    <border>
      <left style="thin">
        <color indexed="22"/>
      </left>
      <right style="thin">
        <color theme="0" tint="-0.24997000396251678"/>
      </right>
      <top style="thin">
        <color indexed="55"/>
      </top>
      <bottom style="thin">
        <color indexed="22"/>
      </bottom>
    </border>
    <border>
      <left style="thin">
        <color indexed="22"/>
      </left>
      <right style="thin">
        <color theme="0" tint="-0.24997000396251678"/>
      </right>
      <top>
        <color indexed="63"/>
      </top>
      <bottom style="thin">
        <color indexed="22"/>
      </bottom>
    </border>
    <border>
      <left style="thin">
        <color indexed="22"/>
      </left>
      <right style="thin">
        <color theme="0" tint="-0.24997000396251678"/>
      </right>
      <top>
        <color indexed="63"/>
      </top>
      <bottom style="thin">
        <color indexed="8"/>
      </bottom>
    </border>
    <border>
      <left style="thin">
        <color indexed="8"/>
      </left>
      <right style="thin">
        <color theme="0" tint="-0.24997000396251678"/>
      </right>
      <top style="thin">
        <color indexed="55"/>
      </top>
      <bottom>
        <color indexed="63"/>
      </bottom>
    </border>
    <border>
      <left style="thin">
        <color indexed="8"/>
      </left>
      <right style="thin">
        <color theme="0" tint="-0.24997000396251678"/>
      </right>
      <top>
        <color indexed="63"/>
      </top>
      <bottom style="thin">
        <color indexed="8"/>
      </bottom>
    </border>
    <border>
      <left>
        <color indexed="63"/>
      </left>
      <right style="thin"/>
      <top>
        <color indexed="63"/>
      </top>
      <bottom>
        <color indexed="63"/>
      </bottom>
    </border>
    <border>
      <left style="thin">
        <color indexed="9"/>
      </left>
      <right style="thin">
        <color indexed="9"/>
      </right>
      <top>
        <color indexed="63"/>
      </top>
      <bottom style="thin">
        <color indexed="23"/>
      </bottom>
    </border>
    <border>
      <left>
        <color indexed="63"/>
      </left>
      <right style="thin">
        <color indexed="30"/>
      </right>
      <top>
        <color indexed="63"/>
      </top>
      <bottom>
        <color indexed="63"/>
      </bottom>
    </border>
    <border>
      <left style="thin">
        <color indexed="55"/>
      </left>
      <right style="thin">
        <color theme="0" tint="-0.4999699890613556"/>
      </right>
      <top>
        <color indexed="63"/>
      </top>
      <bottom>
        <color indexed="63"/>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55"/>
      </left>
      <right style="thin">
        <color indexed="8"/>
      </right>
      <top>
        <color indexed="63"/>
      </top>
      <bottom>
        <color indexed="63"/>
      </bottom>
    </border>
    <border>
      <left style="thin">
        <color indexed="8"/>
      </left>
      <right style="thin"/>
      <top style="thin"/>
      <bottom style="thin">
        <color indexed="22"/>
      </bottom>
    </border>
    <border>
      <left style="thin"/>
      <right style="thin"/>
      <top style="thin">
        <color indexed="22"/>
      </top>
      <bottom style="thin">
        <color indexed="8"/>
      </bottom>
    </border>
    <border>
      <left style="thin"/>
      <right style="thin">
        <color indexed="8"/>
      </right>
      <top style="thin">
        <color indexed="8"/>
      </top>
      <bottom style="thin">
        <color indexed="55"/>
      </bottom>
    </border>
    <border>
      <left style="thin">
        <color indexed="8"/>
      </left>
      <right style="thin"/>
      <top>
        <color indexed="63"/>
      </top>
      <bottom style="thin">
        <color indexed="55"/>
      </bottom>
    </border>
    <border>
      <left style="thin"/>
      <right style="thin">
        <color indexed="8"/>
      </right>
      <top>
        <color indexed="63"/>
      </top>
      <bottom style="thin">
        <color indexed="55"/>
      </bottom>
    </border>
    <border>
      <left style="thin"/>
      <right style="thin">
        <color indexed="8"/>
      </right>
      <top style="thin">
        <color indexed="55"/>
      </top>
      <bottom style="thin">
        <color indexed="55"/>
      </bottom>
    </border>
    <border>
      <left style="thin"/>
      <right style="thin">
        <color indexed="8"/>
      </right>
      <top>
        <color indexed="63"/>
      </top>
      <bottom style="thin"/>
    </border>
    <border>
      <left>
        <color indexed="63"/>
      </left>
      <right style="thin">
        <color indexed="8"/>
      </right>
      <top style="thin">
        <color indexed="55"/>
      </top>
      <bottom style="thin"/>
    </border>
    <border>
      <left>
        <color indexed="63"/>
      </left>
      <right style="thin">
        <color indexed="8"/>
      </right>
      <top>
        <color indexed="63"/>
      </top>
      <bottom style="thin"/>
    </border>
    <border>
      <left style="thin">
        <color indexed="8"/>
      </left>
      <right style="thin">
        <color indexed="55"/>
      </right>
      <top>
        <color indexed="63"/>
      </top>
      <bottom style="thin"/>
    </border>
    <border>
      <left style="thin">
        <color indexed="8"/>
      </left>
      <right style="thin"/>
      <top>
        <color indexed="63"/>
      </top>
      <bottom style="thin"/>
    </border>
    <border>
      <left style="thin">
        <color indexed="8"/>
      </left>
      <right style="thin">
        <color indexed="55"/>
      </right>
      <top style="thin">
        <color indexed="8"/>
      </top>
      <bottom style="thin"/>
    </border>
    <border>
      <left>
        <color indexed="63"/>
      </left>
      <right style="thin">
        <color indexed="55"/>
      </right>
      <top style="thin">
        <color indexed="8"/>
      </top>
      <bottom style="thin"/>
    </border>
    <border>
      <left style="thin">
        <color indexed="55"/>
      </left>
      <right>
        <color indexed="63"/>
      </right>
      <top style="thin">
        <color indexed="8"/>
      </top>
      <bottom style="thin"/>
    </border>
    <border>
      <left style="thin">
        <color theme="0" tint="-0.3499799966812134"/>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22"/>
      </bottom>
    </border>
    <border>
      <left style="thin"/>
      <right style="thin">
        <color indexed="8"/>
      </right>
      <top style="thin"/>
      <bottom style="thin">
        <color indexed="8"/>
      </bottom>
    </border>
    <border>
      <left style="thin"/>
      <right style="thin">
        <color indexed="8"/>
      </right>
      <top style="thin">
        <color indexed="8"/>
      </top>
      <bottom style="thin">
        <color indexed="8"/>
      </bottom>
    </border>
    <border>
      <left style="thin">
        <color indexed="8"/>
      </left>
      <right style="thin">
        <color indexed="8"/>
      </right>
      <top style="thin"/>
      <bottom>
        <color indexed="63"/>
      </bottom>
    </border>
    <border>
      <left>
        <color indexed="63"/>
      </left>
      <right style="thin"/>
      <top style="thin">
        <color indexed="8"/>
      </top>
      <bottom style="thin">
        <color indexed="8"/>
      </bottom>
    </border>
    <border>
      <left style="thin">
        <color indexed="8"/>
      </left>
      <right style="thin">
        <color indexed="8"/>
      </right>
      <top style="thin">
        <color indexed="8"/>
      </top>
      <bottom style="thin">
        <color indexed="22"/>
      </bottom>
    </border>
    <border>
      <left style="thin">
        <color indexed="8"/>
      </left>
      <right>
        <color indexed="63"/>
      </right>
      <top style="thin">
        <color indexed="8"/>
      </top>
      <bottom style="thin">
        <color indexed="22"/>
      </bottom>
    </border>
    <border>
      <left style="thin">
        <color indexed="30"/>
      </left>
      <right style="thin">
        <color indexed="30"/>
      </right>
      <top style="thin">
        <color indexed="30"/>
      </top>
      <bottom style="thin">
        <color indexed="55"/>
      </bottom>
    </border>
    <border>
      <left style="thin">
        <color theme="0" tint="-0.4999699890613556"/>
      </left>
      <right style="thin">
        <color indexed="30"/>
      </right>
      <top style="thin">
        <color indexed="55"/>
      </top>
      <bottom style="thin">
        <color indexed="55"/>
      </bottom>
    </border>
    <border>
      <left>
        <color indexed="63"/>
      </left>
      <right style="thin">
        <color indexed="30"/>
      </right>
      <top style="thin">
        <color indexed="55"/>
      </top>
      <bottom style="thin">
        <color indexed="55"/>
      </bottom>
    </border>
    <border>
      <left style="thin">
        <color indexed="30"/>
      </left>
      <right style="thin">
        <color indexed="30"/>
      </right>
      <top>
        <color indexed="63"/>
      </top>
      <bottom style="thin">
        <color indexed="55"/>
      </bottom>
    </border>
    <border>
      <left>
        <color indexed="63"/>
      </left>
      <right style="thin">
        <color indexed="30"/>
      </right>
      <top>
        <color indexed="63"/>
      </top>
      <bottom style="thin">
        <color indexed="30"/>
      </bottom>
    </border>
    <border>
      <left style="thin">
        <color theme="0" tint="-0.4999699890613556"/>
      </left>
      <right style="thin">
        <color theme="0" tint="-0.4999699890613556"/>
      </right>
      <top style="thin">
        <color indexed="55"/>
      </top>
      <bottom>
        <color indexed="63"/>
      </bottom>
    </border>
    <border>
      <left style="thin">
        <color theme="0" tint="-0.4999699890613556"/>
      </left>
      <right style="thin">
        <color theme="0" tint="-0.4999699890613556"/>
      </right>
      <top>
        <color indexed="63"/>
      </top>
      <bottom style="thin">
        <color theme="0" tint="-0.4999699890613556"/>
      </bottom>
    </border>
    <border>
      <left style="thin">
        <color indexed="30"/>
      </left>
      <right style="thin">
        <color theme="0" tint="-0.4999699890613556"/>
      </right>
      <top style="thin">
        <color indexed="55"/>
      </top>
      <bottom>
        <color indexed="63"/>
      </bottom>
    </border>
    <border>
      <left style="thin">
        <color indexed="30"/>
      </left>
      <right style="thin">
        <color theme="0" tint="-0.4999699890613556"/>
      </right>
      <top>
        <color indexed="63"/>
      </top>
      <bottom>
        <color indexed="63"/>
      </bottom>
    </border>
    <border>
      <left style="thin">
        <color indexed="30"/>
      </left>
      <right style="thin">
        <color theme="0" tint="-0.4999699890613556"/>
      </right>
      <top>
        <color indexed="63"/>
      </top>
      <bottom style="thin">
        <color theme="0" tint="-0.4999699890613556"/>
      </bottom>
    </border>
    <border>
      <left style="thin">
        <color indexed="9"/>
      </left>
      <right>
        <color indexed="63"/>
      </right>
      <top style="thin">
        <color indexed="55"/>
      </top>
      <bottom style="thin">
        <color indexed="8"/>
      </bottom>
    </border>
    <border>
      <left style="thin">
        <color indexed="8"/>
      </left>
      <right>
        <color indexed="63"/>
      </right>
      <top style="thin">
        <color indexed="8"/>
      </top>
      <bottom style="thin">
        <color indexed="26"/>
      </bottom>
    </border>
    <border>
      <left style="thin">
        <color indexed="55"/>
      </left>
      <right style="thin">
        <color indexed="55"/>
      </right>
      <top style="thin">
        <color indexed="8"/>
      </top>
      <bottom style="thin">
        <color indexed="26"/>
      </bottom>
    </border>
    <border>
      <left>
        <color indexed="63"/>
      </left>
      <right style="thin">
        <color indexed="62"/>
      </right>
      <top>
        <color indexed="63"/>
      </top>
      <bottom style="thin">
        <color indexed="55"/>
      </bottom>
    </border>
    <border>
      <left style="thin">
        <color indexed="55"/>
      </left>
      <right style="thin">
        <color indexed="55"/>
      </right>
      <top style="thin">
        <color indexed="26"/>
      </top>
      <bottom style="thin">
        <color indexed="26"/>
      </bottom>
    </border>
    <border>
      <left style="thin">
        <color theme="4" tint="0.5999900102615356"/>
      </left>
      <right style="thin">
        <color theme="4" tint="-0.24997000396251678"/>
      </right>
      <top style="thin">
        <color indexed="62"/>
      </top>
      <bottom style="thin">
        <color indexed="62"/>
      </bottom>
    </border>
    <border>
      <left style="thin">
        <color indexed="62"/>
      </left>
      <right style="thin">
        <color theme="4" tint="0.5999900102615356"/>
      </right>
      <top style="thin">
        <color indexed="62"/>
      </top>
      <bottom style="thin">
        <color indexed="62"/>
      </bottom>
    </border>
    <border>
      <left style="thin">
        <color theme="4" tint="0.5999900102615356"/>
      </left>
      <right style="thin">
        <color theme="4" tint="-0.24997000396251678"/>
      </right>
      <top style="thin">
        <color indexed="62"/>
      </top>
      <bottom>
        <color indexed="63"/>
      </bottom>
    </border>
    <border>
      <left>
        <color indexed="63"/>
      </left>
      <right style="thin">
        <color indexed="8"/>
      </right>
      <top style="thin">
        <color indexed="9"/>
      </top>
      <bottom>
        <color indexed="63"/>
      </bottom>
    </border>
    <border>
      <left style="thin">
        <color indexed="9"/>
      </left>
      <right>
        <color indexed="63"/>
      </right>
      <top>
        <color indexed="63"/>
      </top>
      <bottom style="thin">
        <color theme="0" tint="-0.24997000396251678"/>
      </bottom>
    </border>
    <border>
      <left>
        <color indexed="63"/>
      </left>
      <right>
        <color indexed="63"/>
      </right>
      <top>
        <color indexed="63"/>
      </top>
      <bottom style="thin">
        <color theme="0" tint="-0.24997000396251678"/>
      </bottom>
    </border>
    <border>
      <left>
        <color indexed="63"/>
      </left>
      <right style="thin">
        <color indexed="9"/>
      </right>
      <top>
        <color indexed="63"/>
      </top>
      <bottom style="thin">
        <color theme="0" tint="-0.24997000396251678"/>
      </bottom>
    </border>
    <border>
      <left>
        <color indexed="63"/>
      </left>
      <right style="thin">
        <color indexed="8"/>
      </right>
      <top style="thin">
        <color indexed="9"/>
      </top>
      <bottom style="hair"/>
    </border>
    <border>
      <left>
        <color indexed="63"/>
      </left>
      <right style="thin">
        <color indexed="8"/>
      </right>
      <top>
        <color indexed="63"/>
      </top>
      <bottom style="hair"/>
    </border>
    <border>
      <left>
        <color indexed="63"/>
      </left>
      <right style="thin">
        <color indexed="8"/>
      </right>
      <top style="thin"/>
      <bottom>
        <color indexed="63"/>
      </bottom>
    </border>
    <border>
      <left>
        <color indexed="63"/>
      </left>
      <right style="thin">
        <color indexed="8"/>
      </right>
      <top style="thin">
        <color indexed="8"/>
      </top>
      <bottom style="dashed">
        <color theme="0" tint="-0.24997000396251678"/>
      </bottom>
    </border>
    <border>
      <left style="thin">
        <color indexed="55"/>
      </left>
      <right style="thin">
        <color indexed="8"/>
      </right>
      <top style="thin">
        <color indexed="55"/>
      </top>
      <bottom style="thin">
        <color indexed="26"/>
      </bottom>
    </border>
    <border>
      <left style="thin">
        <color indexed="8"/>
      </left>
      <right>
        <color indexed="63"/>
      </right>
      <top style="thin">
        <color indexed="55"/>
      </top>
      <bottom>
        <color indexed="63"/>
      </bottom>
    </border>
    <border>
      <left style="thin">
        <color indexed="55"/>
      </left>
      <right style="thin">
        <color indexed="55"/>
      </right>
      <top style="thin">
        <color indexed="55"/>
      </top>
      <bottom style="thin">
        <color indexed="26"/>
      </bottom>
    </border>
    <border>
      <left style="thin">
        <color indexed="55"/>
      </left>
      <right style="thin">
        <color indexed="8"/>
      </right>
      <top style="thin">
        <color indexed="55"/>
      </top>
      <bottom>
        <color indexed="63"/>
      </bottom>
    </border>
    <border>
      <left style="thin">
        <color indexed="55"/>
      </left>
      <right>
        <color indexed="63"/>
      </right>
      <top style="thin">
        <color indexed="55"/>
      </top>
      <bottom style="thin">
        <color indexed="55"/>
      </bottom>
    </border>
    <border>
      <left>
        <color indexed="63"/>
      </left>
      <right style="thin">
        <color indexed="22"/>
      </right>
      <top style="medium">
        <color indexed="8"/>
      </top>
      <bottom>
        <color indexed="63"/>
      </bottom>
    </border>
    <border>
      <left style="thin">
        <color indexed="62"/>
      </left>
      <right style="thin">
        <color indexed="62"/>
      </right>
      <top style="thin">
        <color indexed="62"/>
      </top>
      <bottom style="thin">
        <color indexed="62"/>
      </bottom>
    </border>
    <border>
      <left style="thin">
        <color indexed="62"/>
      </left>
      <right style="thin">
        <color indexed="23"/>
      </right>
      <top style="thin">
        <color indexed="62"/>
      </top>
      <bottom style="thin">
        <color indexed="62"/>
      </bottom>
    </border>
    <border>
      <left style="thin">
        <color indexed="62"/>
      </left>
      <right>
        <color indexed="63"/>
      </right>
      <top>
        <color indexed="63"/>
      </top>
      <bottom>
        <color indexed="63"/>
      </bottom>
    </border>
    <border>
      <left style="thin">
        <color indexed="23"/>
      </left>
      <right style="thin">
        <color indexed="62"/>
      </right>
      <top style="thin">
        <color indexed="62"/>
      </top>
      <bottom style="thin">
        <color indexed="62"/>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indexed="9"/>
      </left>
      <right>
        <color indexed="63"/>
      </right>
      <top style="thin">
        <color indexed="9"/>
      </top>
      <bottom style="thin">
        <color indexed="55"/>
      </bottom>
    </border>
    <border>
      <left style="thin">
        <color indexed="9"/>
      </left>
      <right>
        <color indexed="63"/>
      </right>
      <top>
        <color indexed="63"/>
      </top>
      <bottom style="thin">
        <color indexed="9"/>
      </bottom>
    </border>
    <border>
      <left style="thin">
        <color indexed="9"/>
      </left>
      <right>
        <color indexed="63"/>
      </right>
      <top style="thin">
        <color indexed="55"/>
      </top>
      <bottom style="thin">
        <color theme="0" tint="-0.3499799966812134"/>
      </bottom>
    </border>
    <border>
      <left style="thin">
        <color indexed="9"/>
      </left>
      <right style="thin">
        <color indexed="55"/>
      </right>
      <top style="thin">
        <color indexed="9"/>
      </top>
      <bottom style="thin">
        <color indexed="9"/>
      </bottom>
    </border>
    <border>
      <left style="thin">
        <color indexed="9"/>
      </left>
      <right style="thin">
        <color indexed="55"/>
      </right>
      <top style="thin">
        <color indexed="9"/>
      </top>
      <bottom style="thin">
        <color indexed="55"/>
      </bottom>
    </border>
    <border>
      <left style="thin">
        <color indexed="9"/>
      </left>
      <right style="thin">
        <color indexed="55"/>
      </right>
      <top>
        <color indexed="63"/>
      </top>
      <bottom style="thin">
        <color indexed="9"/>
      </bottom>
    </border>
    <border>
      <left style="thin">
        <color indexed="9"/>
      </left>
      <right style="thin">
        <color indexed="9"/>
      </right>
      <top style="thin">
        <color indexed="9"/>
      </top>
      <bottom style="thin">
        <color indexed="55"/>
      </bottom>
    </border>
    <border>
      <left style="thin">
        <color indexed="9"/>
      </left>
      <right style="thin">
        <color indexed="9"/>
      </right>
      <top>
        <color indexed="63"/>
      </top>
      <bottom style="thin">
        <color indexed="55"/>
      </bottom>
    </border>
    <border>
      <left style="thin">
        <color theme="5" tint="0.5999900102615356"/>
      </left>
      <right/>
      <top/>
      <bottom/>
    </border>
    <border>
      <left>
        <color indexed="63"/>
      </left>
      <right>
        <color indexed="63"/>
      </right>
      <top>
        <color indexed="63"/>
      </top>
      <bottom style="thin">
        <color theme="0" tint="-0.3499799966812134"/>
      </bottom>
    </border>
    <border>
      <left style="thin">
        <color indexed="22"/>
      </left>
      <right style="thin">
        <color indexed="55"/>
      </right>
      <top>
        <color indexed="63"/>
      </top>
      <bottom style="thin">
        <color indexed="8"/>
      </bottom>
    </border>
    <border>
      <left>
        <color indexed="63"/>
      </left>
      <right style="thin">
        <color indexed="55"/>
      </right>
      <top>
        <color indexed="63"/>
      </top>
      <bottom style="thin"/>
    </border>
    <border>
      <left>
        <color indexed="63"/>
      </left>
      <right style="thin">
        <color theme="0" tint="-0.3499799966812134"/>
      </right>
      <top style="thin">
        <color indexed="55"/>
      </top>
      <bottom style="thin">
        <color theme="0" tint="-0.3499799966812134"/>
      </bottom>
    </border>
    <border>
      <left>
        <color indexed="63"/>
      </left>
      <right style="thin">
        <color theme="0" tint="-0.3499799966812134"/>
      </right>
      <top style="thin">
        <color theme="0" tint="-0.3499799966812134"/>
      </top>
      <bottom style="thin">
        <color indexed="9"/>
      </bottom>
    </border>
    <border>
      <left>
        <color indexed="63"/>
      </left>
      <right style="thin">
        <color theme="0" tint="-0.3499799966812134"/>
      </right>
      <top style="thin">
        <color indexed="9"/>
      </top>
      <bottom style="thin">
        <color indexed="9"/>
      </bottom>
    </border>
    <border>
      <left style="thin">
        <color indexed="9"/>
      </left>
      <right style="thin">
        <color theme="0" tint="-0.3499799966812134"/>
      </right>
      <top style="thin">
        <color indexed="9"/>
      </top>
      <bottom style="thin">
        <color indexed="9"/>
      </bottom>
    </border>
    <border>
      <left style="thin">
        <color indexed="9"/>
      </left>
      <right style="thin">
        <color theme="0" tint="-0.3499799966812134"/>
      </right>
      <top style="thin">
        <color indexed="9"/>
      </top>
      <bottom style="thin">
        <color theme="0" tint="-0.24997000396251678"/>
      </bottom>
    </border>
    <border>
      <left style="thin">
        <color indexed="55"/>
      </left>
      <right>
        <color indexed="63"/>
      </right>
      <top>
        <color indexed="63"/>
      </top>
      <bottom style="thin">
        <color theme="0" tint="-0.24997000396251678"/>
      </bottom>
    </border>
    <border>
      <left style="thin">
        <color theme="0" tint="-0.3499799966812134"/>
      </left>
      <right>
        <color indexed="63"/>
      </right>
      <top style="thin">
        <color theme="0" tint="-0.3499799966812134"/>
      </top>
      <bottom>
        <color indexed="63"/>
      </bottom>
    </border>
    <border>
      <left style="thin">
        <color theme="0" tint="-0.3499799966812134"/>
      </left>
      <right style="thin">
        <color indexed="55"/>
      </right>
      <top style="thin">
        <color theme="0" tint="-0.3499799966812134"/>
      </top>
      <bottom style="thin">
        <color indexed="55"/>
      </bottom>
    </border>
    <border>
      <left style="thin">
        <color indexed="55"/>
      </left>
      <right style="thin">
        <color indexed="55"/>
      </right>
      <top style="thin">
        <color theme="0" tint="-0.3499799966812134"/>
      </top>
      <bottom style="thin">
        <color indexed="55"/>
      </bottom>
    </border>
    <border>
      <left style="thin">
        <color indexed="55"/>
      </left>
      <right style="thin">
        <color theme="0" tint="-0.3499799966812134"/>
      </right>
      <top style="thin">
        <color theme="0" tint="-0.3499799966812134"/>
      </top>
      <bottom style="thin">
        <color indexed="55"/>
      </bottom>
    </border>
    <border>
      <left style="thin">
        <color theme="0" tint="-0.3499799966812134"/>
      </left>
      <right style="thin">
        <color indexed="55"/>
      </right>
      <top style="thin">
        <color indexed="55"/>
      </top>
      <bottom style="thin">
        <color indexed="55"/>
      </bottom>
    </border>
    <border>
      <left style="thin">
        <color theme="0" tint="-0.3499799966812134"/>
      </left>
      <right>
        <color indexed="63"/>
      </right>
      <top style="thin">
        <color theme="0" tint="-0.3499799966812134"/>
      </top>
      <bottom style="thin">
        <color theme="0" tint="-0.3499799966812134"/>
      </bottom>
    </border>
    <border>
      <left>
        <color indexed="63"/>
      </left>
      <right style="thin">
        <color indexed="55"/>
      </right>
      <top style="thin">
        <color theme="0" tint="-0.3499799966812134"/>
      </top>
      <bottom style="thin">
        <color theme="0" tint="-0.3499799966812134"/>
      </bottom>
    </border>
    <border>
      <left style="thin">
        <color indexed="55"/>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thin">
        <color indexed="9"/>
      </right>
      <top style="thin">
        <color theme="0" tint="-0.3499799966812134"/>
      </top>
      <bottom style="thin">
        <color theme="0" tint="-0.3499799966812134"/>
      </bottom>
    </border>
    <border>
      <left style="thin">
        <color indexed="9"/>
      </left>
      <right>
        <color indexed="63"/>
      </right>
      <top style="thin">
        <color theme="0" tint="-0.3499799966812134"/>
      </top>
      <bottom style="thin">
        <color theme="0" tint="-0.3499799966812134"/>
      </bottom>
    </border>
    <border>
      <left style="thin">
        <color indexed="55"/>
      </left>
      <right style="thin">
        <color indexed="55"/>
      </right>
      <top style="thin">
        <color indexed="55"/>
      </top>
      <bottom>
        <color indexed="63"/>
      </bottom>
    </border>
    <border>
      <left style="thin">
        <color theme="0" tint="-0.3499799966812134"/>
      </left>
      <right style="thin">
        <color indexed="55"/>
      </right>
      <top style="thin">
        <color indexed="55"/>
      </top>
      <bottom>
        <color indexed="63"/>
      </bottom>
    </border>
    <border>
      <left style="thin">
        <color indexed="55"/>
      </left>
      <right style="thin">
        <color theme="0" tint="-0.3499799966812134"/>
      </right>
      <top style="thin">
        <color indexed="55"/>
      </top>
      <bottom>
        <color indexed="63"/>
      </bottom>
    </border>
    <border>
      <left style="thin">
        <color indexed="9"/>
      </left>
      <right style="thin">
        <color theme="0" tint="-0.3499799966812134"/>
      </right>
      <top>
        <color indexed="63"/>
      </top>
      <bottom style="thin">
        <color theme="0" tint="-0.24997000396251678"/>
      </bottom>
    </border>
    <border>
      <left style="thin">
        <color indexed="9"/>
      </left>
      <right style="thin">
        <color indexed="9"/>
      </right>
      <top style="thin">
        <color indexed="9"/>
      </top>
      <bottom style="thin">
        <color rgb="FFFF0000"/>
      </bottom>
    </border>
    <border>
      <left style="thin">
        <color indexed="9"/>
      </left>
      <right style="thin">
        <color theme="0" tint="-0.3499799966812134"/>
      </right>
      <top style="thin">
        <color indexed="9"/>
      </top>
      <bottom style="thin">
        <color rgb="FFFF0000"/>
      </bottom>
    </border>
    <border>
      <left style="thin">
        <color indexed="55"/>
      </left>
      <right>
        <color indexed="63"/>
      </right>
      <top>
        <color indexed="63"/>
      </top>
      <bottom style="thin">
        <color rgb="FFFF0000"/>
      </bottom>
    </border>
    <border>
      <left>
        <color indexed="63"/>
      </left>
      <right style="thin">
        <color indexed="55"/>
      </right>
      <top>
        <color indexed="63"/>
      </top>
      <bottom style="thin">
        <color rgb="FFFF0000"/>
      </bottom>
    </border>
    <border>
      <left>
        <color indexed="63"/>
      </left>
      <right>
        <color indexed="63"/>
      </right>
      <top>
        <color indexed="63"/>
      </top>
      <bottom style="thin">
        <color rgb="FFFF0000"/>
      </bottom>
    </border>
    <border>
      <left>
        <color indexed="63"/>
      </left>
      <right style="thin">
        <color indexed="9"/>
      </right>
      <top style="thin">
        <color indexed="9"/>
      </top>
      <bottom style="thin">
        <color rgb="FFFF0000"/>
      </bottom>
    </border>
    <border>
      <left style="thin">
        <color indexed="9"/>
      </left>
      <right style="thin">
        <color indexed="55"/>
      </right>
      <top style="thin">
        <color indexed="9"/>
      </top>
      <bottom style="thin">
        <color rgb="FFFF0000"/>
      </bottom>
    </border>
    <border>
      <left style="thin">
        <color indexed="8"/>
      </left>
      <right style="thin">
        <color theme="0" tint="-0.24997000396251678"/>
      </right>
      <top>
        <color indexed="63"/>
      </top>
      <bottom style="thin">
        <color theme="0" tint="-0.1499900072813034"/>
      </bottom>
    </border>
    <border>
      <left>
        <color indexed="63"/>
      </left>
      <right style="thin">
        <color indexed="22"/>
      </right>
      <top>
        <color indexed="63"/>
      </top>
      <bottom style="thin">
        <color theme="0" tint="-0.1499900072813034"/>
      </bottom>
    </border>
    <border>
      <left style="thin">
        <color indexed="8"/>
      </left>
      <right style="thin">
        <color indexed="22"/>
      </right>
      <top>
        <color indexed="63"/>
      </top>
      <bottom style="thin">
        <color theme="0" tint="-0.1499900072813034"/>
      </bottom>
    </border>
    <border>
      <left style="thin">
        <color indexed="22"/>
      </left>
      <right style="thin">
        <color indexed="55"/>
      </right>
      <top>
        <color indexed="63"/>
      </top>
      <bottom style="thin">
        <color theme="0" tint="-0.1499900072813034"/>
      </bottom>
    </border>
    <border>
      <left>
        <color indexed="63"/>
      </left>
      <right style="thin">
        <color indexed="55"/>
      </right>
      <top>
        <color indexed="63"/>
      </top>
      <bottom style="thin">
        <color theme="0" tint="-0.1499900072813034"/>
      </bottom>
    </border>
    <border>
      <left style="thin">
        <color indexed="8"/>
      </left>
      <right style="thin">
        <color theme="0" tint="-0.24997000396251678"/>
      </right>
      <top style="thin">
        <color theme="0" tint="-0.1499900072813034"/>
      </top>
      <bottom style="thin">
        <color theme="0" tint="-0.1499900072813034"/>
      </bottom>
    </border>
    <border>
      <left>
        <color indexed="63"/>
      </left>
      <right style="thin">
        <color indexed="22"/>
      </right>
      <top style="thin">
        <color theme="0" tint="-0.1499900072813034"/>
      </top>
      <bottom style="thin">
        <color theme="0" tint="-0.1499900072813034"/>
      </bottom>
    </border>
    <border>
      <left style="thin">
        <color indexed="8"/>
      </left>
      <right style="thin">
        <color indexed="22"/>
      </right>
      <top style="thin">
        <color theme="0" tint="-0.1499900072813034"/>
      </top>
      <bottom style="thin">
        <color theme="0" tint="-0.1499900072813034"/>
      </bottom>
    </border>
    <border>
      <left style="thin">
        <color indexed="22"/>
      </left>
      <right style="thin">
        <color indexed="55"/>
      </right>
      <top style="thin">
        <color theme="0" tint="-0.1499900072813034"/>
      </top>
      <bottom style="thin">
        <color theme="0" tint="-0.1499900072813034"/>
      </bottom>
    </border>
    <border>
      <left>
        <color indexed="63"/>
      </left>
      <right style="thin">
        <color indexed="55"/>
      </right>
      <top style="thin">
        <color theme="0" tint="-0.1499900072813034"/>
      </top>
      <bottom style="thin">
        <color theme="0" tint="-0.1499900072813034"/>
      </bottom>
    </border>
    <border>
      <left>
        <color indexed="63"/>
      </left>
      <right>
        <color indexed="63"/>
      </right>
      <top style="thin">
        <color theme="0" tint="-0.1499900072813034"/>
      </top>
      <bottom style="thin">
        <color theme="0" tint="-0.1499900072813034"/>
      </bottom>
    </border>
    <border>
      <left>
        <color indexed="63"/>
      </left>
      <right>
        <color indexed="63"/>
      </right>
      <top>
        <color indexed="63"/>
      </top>
      <bottom style="thin">
        <color theme="0" tint="-0.1499900072813034"/>
      </bottom>
    </border>
    <border>
      <left style="thin">
        <color indexed="55"/>
      </left>
      <right>
        <color indexed="63"/>
      </right>
      <top>
        <color indexed="63"/>
      </top>
      <bottom style="thin">
        <color theme="0" tint="-0.1499900072813034"/>
      </bottom>
    </border>
    <border>
      <left style="thin">
        <color indexed="55"/>
      </left>
      <right>
        <color indexed="63"/>
      </right>
      <top style="thin">
        <color theme="0" tint="-0.1499900072813034"/>
      </top>
      <bottom style="thin">
        <color theme="0" tint="-0.1499900072813034"/>
      </bottom>
    </border>
    <border>
      <left style="thin">
        <color indexed="55"/>
      </left>
      <right>
        <color indexed="63"/>
      </right>
      <top>
        <color indexed="63"/>
      </top>
      <bottom style="thin"/>
    </border>
    <border>
      <left>
        <color indexed="63"/>
      </left>
      <right style="thin"/>
      <top>
        <color indexed="63"/>
      </top>
      <bottom style="thin">
        <color theme="0" tint="-0.1499900072813034"/>
      </bottom>
    </border>
    <border>
      <left>
        <color indexed="63"/>
      </left>
      <right style="thin"/>
      <top style="thin">
        <color theme="0" tint="-0.1499900072813034"/>
      </top>
      <bottom style="thin">
        <color theme="0" tint="-0.1499900072813034"/>
      </bottom>
    </border>
    <border>
      <left>
        <color indexed="63"/>
      </left>
      <right style="thin"/>
      <top>
        <color indexed="63"/>
      </top>
      <bottom style="thin"/>
    </border>
    <border>
      <left style="thin">
        <color indexed="8"/>
      </left>
      <right style="thin">
        <color theme="0" tint="-0.24997000396251678"/>
      </right>
      <top>
        <color indexed="63"/>
      </top>
      <bottom style="thin">
        <color theme="0" tint="-0.3499799966812134"/>
      </bottom>
    </border>
    <border>
      <left>
        <color indexed="63"/>
      </left>
      <right style="thin">
        <color indexed="22"/>
      </right>
      <top>
        <color indexed="63"/>
      </top>
      <bottom style="thin">
        <color theme="0" tint="-0.3499799966812134"/>
      </bottom>
    </border>
    <border>
      <left>
        <color indexed="63"/>
      </left>
      <right style="thin">
        <color indexed="8"/>
      </right>
      <top>
        <color indexed="63"/>
      </top>
      <bottom style="thin">
        <color theme="0" tint="-0.3499799966812134"/>
      </bottom>
    </border>
    <border>
      <left style="thin">
        <color indexed="8"/>
      </left>
      <right style="thin">
        <color indexed="22"/>
      </right>
      <top>
        <color indexed="63"/>
      </top>
      <bottom style="thin">
        <color theme="0" tint="-0.3499799966812134"/>
      </bottom>
    </border>
    <border>
      <left>
        <color indexed="63"/>
      </left>
      <right style="thin">
        <color indexed="55"/>
      </right>
      <top>
        <color indexed="63"/>
      </top>
      <bottom style="thin">
        <color theme="0" tint="-0.3499799966812134"/>
      </bottom>
    </border>
    <border>
      <left style="thin">
        <color indexed="55"/>
      </left>
      <right style="thin">
        <color indexed="55"/>
      </right>
      <top>
        <color indexed="63"/>
      </top>
      <bottom style="thin">
        <color theme="0" tint="-0.3499799966812134"/>
      </bottom>
    </border>
    <border>
      <left style="thin">
        <color indexed="55"/>
      </left>
      <right style="thin"/>
      <top>
        <color indexed="63"/>
      </top>
      <bottom style="thin">
        <color theme="0" tint="-0.3499799966812134"/>
      </bottom>
    </border>
    <border>
      <left style="thin">
        <color theme="0" tint="-0.3499799966812134"/>
      </left>
      <right>
        <color indexed="63"/>
      </right>
      <top>
        <color indexed="63"/>
      </top>
      <bottom style="thin">
        <color theme="0" tint="-0.3499799966812134"/>
      </bottom>
    </border>
    <border>
      <left style="thin">
        <color theme="0" tint="-0.24997000396251678"/>
      </left>
      <right style="thin">
        <color theme="0" tint="-0.3499799966812134"/>
      </right>
      <top>
        <color indexed="63"/>
      </top>
      <bottom style="thin">
        <color theme="0" tint="-0.3499799966812134"/>
      </bottom>
    </border>
    <border>
      <left>
        <color indexed="63"/>
      </left>
      <right style="thin"/>
      <top>
        <color indexed="63"/>
      </top>
      <bottom style="thin">
        <color theme="0" tint="-0.3499799966812134"/>
      </bottom>
    </border>
    <border>
      <left style="thin">
        <color theme="0" tint="-0.3499799966812134"/>
      </left>
      <right style="thin">
        <color indexed="55"/>
      </right>
      <top style="thin">
        <color theme="0" tint="-0.3499799966812134"/>
      </top>
      <bottom style="thin">
        <color theme="0" tint="-0.3499799966812134"/>
      </bottom>
    </border>
    <border>
      <left style="thin">
        <color indexed="55"/>
      </left>
      <right style="thin">
        <color theme="0" tint="-0.3499799966812134"/>
      </right>
      <top style="thin">
        <color theme="0" tint="-0.3499799966812134"/>
      </top>
      <bottom style="thin">
        <color theme="0" tint="-0.3499799966812134"/>
      </bottom>
    </border>
    <border>
      <left style="thin">
        <color indexed="55"/>
      </left>
      <right>
        <color indexed="63"/>
      </right>
      <top style="thin">
        <color theme="0" tint="-0.3499799966812134"/>
      </top>
      <bottom style="thin">
        <color theme="0" tint="-0.1499900072813034"/>
      </bottom>
    </border>
    <border>
      <left>
        <color indexed="63"/>
      </left>
      <right>
        <color indexed="63"/>
      </right>
      <top>
        <color indexed="63"/>
      </top>
      <bottom style="hair"/>
    </border>
    <border>
      <left>
        <color indexed="63"/>
      </left>
      <right>
        <color indexed="63"/>
      </right>
      <top style="thin">
        <color indexed="9"/>
      </top>
      <bottom style="hair"/>
    </border>
    <border>
      <left>
        <color indexed="63"/>
      </left>
      <right>
        <color indexed="63"/>
      </right>
      <top style="thin"/>
      <bottom>
        <color indexed="63"/>
      </bottom>
    </border>
    <border>
      <left>
        <color indexed="63"/>
      </left>
      <right>
        <color indexed="63"/>
      </right>
      <top style="thin">
        <color indexed="8"/>
      </top>
      <bottom style="dashed">
        <color theme="0" tint="-0.24997000396251678"/>
      </bottom>
    </border>
    <border>
      <left style="thin">
        <color indexed="9"/>
      </left>
      <right>
        <color indexed="63"/>
      </right>
      <top style="thin">
        <color theme="0" tint="-0.24997000396251678"/>
      </top>
      <bottom>
        <color indexed="63"/>
      </bottom>
    </border>
    <border>
      <left>
        <color indexed="63"/>
      </left>
      <right>
        <color indexed="63"/>
      </right>
      <top style="thin">
        <color theme="0" tint="-0.24997000396251678"/>
      </top>
      <bottom>
        <color indexed="63"/>
      </bottom>
    </border>
    <border>
      <left>
        <color indexed="63"/>
      </left>
      <right style="thin">
        <color indexed="9"/>
      </right>
      <top style="thin">
        <color theme="0" tint="-0.24997000396251678"/>
      </top>
      <bottom>
        <color indexed="63"/>
      </bottom>
    </border>
    <border>
      <left>
        <color indexed="63"/>
      </left>
      <right style="thin"/>
      <top>
        <color indexed="63"/>
      </top>
      <bottom style="thin">
        <color theme="0" tint="-0.24997000396251678"/>
      </bottom>
    </border>
    <border>
      <left style="thin"/>
      <right style="thin"/>
      <top>
        <color indexed="63"/>
      </top>
      <bottom style="thin">
        <color theme="0" tint="-0.24997000396251678"/>
      </bottom>
    </border>
    <border>
      <left style="thin"/>
      <right>
        <color indexed="63"/>
      </right>
      <top>
        <color indexed="63"/>
      </top>
      <bottom style="thin">
        <color theme="0" tint="-0.24997000396251678"/>
      </bottom>
    </border>
    <border>
      <left>
        <color indexed="63"/>
      </left>
      <right style="thin">
        <color indexed="9"/>
      </right>
      <top style="thin">
        <color theme="0" tint="-0.24997000396251678"/>
      </top>
      <bottom style="thin">
        <color indexed="9"/>
      </bottom>
    </border>
    <border>
      <left style="thin">
        <color indexed="22"/>
      </left>
      <right style="thin">
        <color indexed="55"/>
      </right>
      <top>
        <color indexed="63"/>
      </top>
      <bottom>
        <color indexed="63"/>
      </bottom>
    </border>
    <border>
      <left style="thin">
        <color indexed="22"/>
      </left>
      <right style="thin">
        <color indexed="55"/>
      </right>
      <top style="thin">
        <color indexed="55"/>
      </top>
      <bottom style="thin">
        <color theme="0" tint="-0.3499799966812134"/>
      </bottom>
    </border>
    <border>
      <left>
        <color indexed="63"/>
      </left>
      <right style="thin">
        <color indexed="22"/>
      </right>
      <top style="thin">
        <color indexed="55"/>
      </top>
      <bottom style="thin">
        <color theme="0" tint="-0.3499799966812134"/>
      </bottom>
    </border>
    <border>
      <left>
        <color indexed="63"/>
      </left>
      <right style="thin">
        <color indexed="8"/>
      </right>
      <top>
        <color indexed="63"/>
      </top>
      <bottom style="thin">
        <color theme="0" tint="-0.1499900072813034"/>
      </bottom>
    </border>
    <border>
      <left style="thin">
        <color indexed="9"/>
      </left>
      <right>
        <color indexed="63"/>
      </right>
      <top>
        <color indexed="63"/>
      </top>
      <bottom style="thin">
        <color theme="0" tint="-0.149990007281303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5" fillId="2" borderId="0" applyNumberFormat="0" applyBorder="0" applyAlignment="0" applyProtection="0"/>
    <xf numFmtId="0" fontId="125" fillId="3" borderId="0" applyNumberFormat="0" applyBorder="0" applyAlignment="0" applyProtection="0"/>
    <xf numFmtId="0" fontId="125" fillId="4" borderId="0" applyNumberFormat="0" applyBorder="0" applyAlignment="0" applyProtection="0"/>
    <xf numFmtId="0" fontId="125" fillId="5" borderId="0" applyNumberFormat="0" applyBorder="0" applyAlignment="0" applyProtection="0"/>
    <xf numFmtId="0" fontId="125" fillId="6" borderId="0" applyNumberFormat="0" applyBorder="0" applyAlignment="0" applyProtection="0"/>
    <xf numFmtId="0" fontId="125" fillId="7" borderId="0" applyNumberFormat="0" applyBorder="0" applyAlignment="0" applyProtection="0"/>
    <xf numFmtId="0" fontId="125" fillId="8" borderId="0" applyNumberFormat="0" applyBorder="0" applyAlignment="0" applyProtection="0"/>
    <xf numFmtId="0" fontId="125" fillId="9" borderId="0" applyNumberFormat="0" applyBorder="0" applyAlignment="0" applyProtection="0"/>
    <xf numFmtId="0" fontId="125" fillId="10" borderId="0" applyNumberFormat="0" applyBorder="0" applyAlignment="0" applyProtection="0"/>
    <xf numFmtId="0" fontId="125" fillId="11" borderId="0" applyNumberFormat="0" applyBorder="0" applyAlignment="0" applyProtection="0"/>
    <xf numFmtId="0" fontId="125" fillId="12" borderId="0" applyNumberFormat="0" applyBorder="0" applyAlignment="0" applyProtection="0"/>
    <xf numFmtId="0" fontId="125" fillId="13" borderId="0" applyNumberFormat="0" applyBorder="0" applyAlignment="0" applyProtection="0"/>
    <xf numFmtId="0" fontId="126" fillId="14" borderId="0" applyNumberFormat="0" applyBorder="0" applyAlignment="0" applyProtection="0"/>
    <xf numFmtId="0" fontId="126" fillId="15" borderId="0" applyNumberFormat="0" applyBorder="0" applyAlignment="0" applyProtection="0"/>
    <xf numFmtId="0" fontId="126" fillId="16" borderId="0" applyNumberFormat="0" applyBorder="0" applyAlignment="0" applyProtection="0"/>
    <xf numFmtId="0" fontId="126" fillId="17" borderId="0" applyNumberFormat="0" applyBorder="0" applyAlignment="0" applyProtection="0"/>
    <xf numFmtId="0" fontId="126" fillId="18" borderId="0" applyNumberFormat="0" applyBorder="0" applyAlignment="0" applyProtection="0"/>
    <xf numFmtId="0" fontId="126" fillId="19" borderId="0" applyNumberFormat="0" applyBorder="0" applyAlignment="0" applyProtection="0"/>
    <xf numFmtId="0" fontId="126" fillId="20" borderId="0" applyNumberFormat="0" applyBorder="0" applyAlignment="0" applyProtection="0"/>
    <xf numFmtId="0" fontId="126" fillId="21" borderId="0" applyNumberFormat="0" applyBorder="0" applyAlignment="0" applyProtection="0"/>
    <xf numFmtId="0" fontId="126" fillId="22"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126" fillId="25" borderId="0" applyNumberFormat="0" applyBorder="0" applyAlignment="0" applyProtection="0"/>
    <xf numFmtId="0" fontId="127" fillId="26" borderId="0" applyNumberFormat="0" applyBorder="0" applyAlignment="0" applyProtection="0"/>
    <xf numFmtId="0" fontId="128" fillId="27" borderId="1" applyNumberFormat="0" applyAlignment="0" applyProtection="0"/>
    <xf numFmtId="0" fontId="129" fillId="28" borderId="2" applyNumberFormat="0" applyAlignment="0" applyProtection="0"/>
    <xf numFmtId="170"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29" borderId="0" applyNumberFormat="0" applyBorder="0" applyAlignment="0" applyProtection="0"/>
    <xf numFmtId="0" fontId="133" fillId="0" borderId="3" applyNumberFormat="0" applyFill="0" applyAlignment="0" applyProtection="0"/>
    <xf numFmtId="0" fontId="134" fillId="0" borderId="4" applyNumberFormat="0" applyFill="0" applyAlignment="0" applyProtection="0"/>
    <xf numFmtId="0" fontId="135" fillId="0" borderId="5" applyNumberFormat="0" applyFill="0" applyAlignment="0" applyProtection="0"/>
    <xf numFmtId="0" fontId="135" fillId="0" borderId="0" applyNumberFormat="0" applyFill="0" applyBorder="0" applyAlignment="0" applyProtection="0"/>
    <xf numFmtId="0" fontId="16" fillId="0" borderId="0" applyNumberFormat="0" applyFill="0" applyBorder="0" applyAlignment="0" applyProtection="0"/>
    <xf numFmtId="0" fontId="136" fillId="30" borderId="1" applyNumberFormat="0" applyAlignment="0" applyProtection="0"/>
    <xf numFmtId="0" fontId="137" fillId="0" borderId="6" applyNumberFormat="0" applyFill="0" applyAlignment="0" applyProtection="0"/>
    <xf numFmtId="0" fontId="138" fillId="31" borderId="0" applyNumberFormat="0" applyBorder="0" applyAlignment="0" applyProtection="0"/>
    <xf numFmtId="0" fontId="0" fillId="32" borderId="7" applyNumberFormat="0" applyFont="0" applyAlignment="0" applyProtection="0"/>
    <xf numFmtId="0" fontId="139" fillId="27" borderId="8" applyNumberFormat="0" applyAlignment="0" applyProtection="0"/>
    <xf numFmtId="9" fontId="0" fillId="0" borderId="0" applyFill="0" applyBorder="0" applyAlignment="0" applyProtection="0"/>
    <xf numFmtId="0" fontId="140" fillId="0" borderId="0" applyNumberFormat="0" applyFill="0" applyBorder="0" applyAlignment="0" applyProtection="0"/>
    <xf numFmtId="0" fontId="141" fillId="0" borderId="9" applyNumberFormat="0" applyFill="0" applyAlignment="0" applyProtection="0"/>
    <xf numFmtId="0" fontId="142" fillId="0" borderId="0" applyNumberFormat="0" applyFill="0" applyBorder="0" applyAlignment="0" applyProtection="0"/>
  </cellStyleXfs>
  <cellXfs count="1363">
    <xf numFmtId="0" fontId="0" fillId="0" borderId="0" xfId="0" applyAlignment="1">
      <alignment/>
    </xf>
    <xf numFmtId="0" fontId="2" fillId="0" borderId="0" xfId="0" applyFont="1" applyBorder="1" applyAlignment="1">
      <alignment horizontal="left"/>
    </xf>
    <xf numFmtId="0" fontId="3" fillId="0" borderId="0" xfId="0" applyFont="1" applyAlignment="1">
      <alignment/>
    </xf>
    <xf numFmtId="0" fontId="5" fillId="0" borderId="0" xfId="0" applyFont="1" applyAlignment="1">
      <alignment/>
    </xf>
    <xf numFmtId="0" fontId="4" fillId="0" borderId="0" xfId="0" applyFont="1" applyBorder="1" applyAlignment="1">
      <alignment horizontal="left"/>
    </xf>
    <xf numFmtId="0" fontId="6" fillId="0" borderId="0" xfId="0" applyFont="1" applyBorder="1" applyAlignment="1">
      <alignment/>
    </xf>
    <xf numFmtId="0" fontId="0" fillId="33" borderId="0" xfId="0" applyFill="1" applyAlignment="1">
      <alignment/>
    </xf>
    <xf numFmtId="0" fontId="7" fillId="33" borderId="10" xfId="0" applyFont="1" applyFill="1" applyBorder="1" applyAlignment="1">
      <alignment vertical="center" wrapText="1"/>
    </xf>
    <xf numFmtId="0" fontId="7" fillId="33" borderId="11" xfId="0" applyFont="1" applyFill="1" applyBorder="1" applyAlignment="1">
      <alignment vertical="center" wrapText="1"/>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7" fillId="34" borderId="14" xfId="0" applyFont="1" applyFill="1" applyBorder="1" applyAlignment="1">
      <alignment horizontal="center" vertical="top" wrapText="1"/>
    </xf>
    <xf numFmtId="0" fontId="7" fillId="34" borderId="15" xfId="0" applyFont="1" applyFill="1" applyBorder="1" applyAlignment="1">
      <alignment horizontal="center" vertical="top" wrapText="1"/>
    </xf>
    <xf numFmtId="0" fontId="7" fillId="34" borderId="16" xfId="0" applyFont="1" applyFill="1" applyBorder="1" applyAlignment="1">
      <alignment horizontal="center" vertical="center" wrapText="1"/>
    </xf>
    <xf numFmtId="0" fontId="8" fillId="34" borderId="17" xfId="0" applyFont="1" applyFill="1" applyBorder="1" applyAlignment="1">
      <alignment horizontal="center" vertical="top" wrapText="1"/>
    </xf>
    <xf numFmtId="0" fontId="8" fillId="34" borderId="18" xfId="0" applyFont="1" applyFill="1" applyBorder="1" applyAlignment="1">
      <alignment horizontal="center" vertical="top" wrapText="1"/>
    </xf>
    <xf numFmtId="0" fontId="8" fillId="34" borderId="19" xfId="0" applyFont="1" applyFill="1" applyBorder="1" applyAlignment="1">
      <alignment horizontal="center" vertical="top" wrapText="1"/>
    </xf>
    <xf numFmtId="0" fontId="9" fillId="33" borderId="20" xfId="0" applyFont="1" applyFill="1" applyBorder="1" applyAlignment="1">
      <alignment horizontal="center" wrapText="1"/>
    </xf>
    <xf numFmtId="164" fontId="9" fillId="0" borderId="21" xfId="0" applyNumberFormat="1" applyFont="1" applyBorder="1" applyAlignment="1">
      <alignment horizontal="right" wrapText="1" indent="1"/>
    </xf>
    <xf numFmtId="165" fontId="9" fillId="0" borderId="21" xfId="0" applyNumberFormat="1" applyFont="1" applyBorder="1" applyAlignment="1">
      <alignment horizontal="right" wrapText="1" indent="1"/>
    </xf>
    <xf numFmtId="166" fontId="9" fillId="33" borderId="20" xfId="0" applyNumberFormat="1" applyFont="1" applyFill="1" applyBorder="1" applyAlignment="1">
      <alignment horizontal="right" vertical="center" wrapText="1" indent="1"/>
    </xf>
    <xf numFmtId="164" fontId="9" fillId="33" borderId="22" xfId="0" applyNumberFormat="1" applyFont="1" applyFill="1" applyBorder="1" applyAlignment="1">
      <alignment horizontal="right" vertical="center" wrapText="1" indent="2"/>
    </xf>
    <xf numFmtId="166" fontId="11" fillId="33" borderId="22" xfId="0" applyNumberFormat="1" applyFont="1" applyFill="1" applyBorder="1" applyAlignment="1">
      <alignment horizontal="right" wrapText="1" indent="2"/>
    </xf>
    <xf numFmtId="0" fontId="9" fillId="33" borderId="23" xfId="0" applyFont="1" applyFill="1" applyBorder="1" applyAlignment="1">
      <alignment horizontal="center" wrapText="1"/>
    </xf>
    <xf numFmtId="165" fontId="9" fillId="0" borderId="24" xfId="0" applyNumberFormat="1" applyFont="1" applyBorder="1" applyAlignment="1">
      <alignment horizontal="right" wrapText="1" indent="1"/>
    </xf>
    <xf numFmtId="166" fontId="9" fillId="33" borderId="23" xfId="0" applyNumberFormat="1" applyFont="1" applyFill="1" applyBorder="1" applyAlignment="1">
      <alignment horizontal="right" vertical="center" wrapText="1" indent="1"/>
    </xf>
    <xf numFmtId="164" fontId="9" fillId="33" borderId="25" xfId="0" applyNumberFormat="1" applyFont="1" applyFill="1" applyBorder="1" applyAlignment="1">
      <alignment horizontal="right" vertical="center" wrapText="1" indent="2"/>
    </xf>
    <xf numFmtId="166" fontId="12" fillId="33" borderId="25" xfId="0" applyNumberFormat="1" applyFont="1" applyFill="1" applyBorder="1" applyAlignment="1">
      <alignment horizontal="right" wrapText="1" indent="2"/>
    </xf>
    <xf numFmtId="167" fontId="9" fillId="33" borderId="23" xfId="0" applyNumberFormat="1" applyFont="1" applyFill="1" applyBorder="1" applyAlignment="1">
      <alignment horizontal="right" vertical="center" wrapText="1" indent="1"/>
    </xf>
    <xf numFmtId="166" fontId="9" fillId="33" borderId="25" xfId="0" applyNumberFormat="1" applyFont="1" applyFill="1" applyBorder="1" applyAlignment="1">
      <alignment horizontal="right" wrapText="1" indent="2"/>
    </xf>
    <xf numFmtId="166" fontId="11" fillId="33" borderId="25" xfId="0" applyNumberFormat="1" applyFont="1" applyFill="1" applyBorder="1" applyAlignment="1">
      <alignment horizontal="right" wrapText="1" indent="2"/>
    </xf>
    <xf numFmtId="0" fontId="9" fillId="33" borderId="26" xfId="0" applyFont="1" applyFill="1" applyBorder="1" applyAlignment="1">
      <alignment horizontal="center" wrapText="1"/>
    </xf>
    <xf numFmtId="165" fontId="9" fillId="0" borderId="27" xfId="0" applyNumberFormat="1" applyFont="1" applyBorder="1" applyAlignment="1">
      <alignment horizontal="right" wrapText="1" indent="1"/>
    </xf>
    <xf numFmtId="167" fontId="9" fillId="33" borderId="26" xfId="0" applyNumberFormat="1" applyFont="1" applyFill="1" applyBorder="1" applyAlignment="1">
      <alignment horizontal="right" vertical="center" wrapText="1" indent="1"/>
    </xf>
    <xf numFmtId="164" fontId="9" fillId="33" borderId="13" xfId="0" applyNumberFormat="1" applyFont="1" applyFill="1" applyBorder="1" applyAlignment="1">
      <alignment horizontal="right" vertical="center" wrapText="1" indent="2"/>
    </xf>
    <xf numFmtId="166" fontId="11" fillId="33" borderId="13" xfId="0" applyNumberFormat="1" applyFont="1" applyFill="1" applyBorder="1" applyAlignment="1">
      <alignment horizontal="right" wrapText="1" indent="2"/>
    </xf>
    <xf numFmtId="166" fontId="9" fillId="33" borderId="21" xfId="0" applyNumberFormat="1" applyFont="1" applyFill="1" applyBorder="1" applyAlignment="1">
      <alignment horizontal="right" wrapText="1" indent="1"/>
    </xf>
    <xf numFmtId="166" fontId="9" fillId="33" borderId="20" xfId="0" applyNumberFormat="1" applyFont="1" applyFill="1" applyBorder="1" applyAlignment="1">
      <alignment vertical="center" wrapText="1"/>
    </xf>
    <xf numFmtId="164" fontId="9" fillId="33" borderId="20" xfId="0" applyNumberFormat="1" applyFont="1" applyFill="1" applyBorder="1" applyAlignment="1">
      <alignment horizontal="right" vertical="center" wrapText="1" indent="2"/>
    </xf>
    <xf numFmtId="166" fontId="11" fillId="33" borderId="28" xfId="0" applyNumberFormat="1" applyFont="1" applyFill="1" applyBorder="1" applyAlignment="1">
      <alignment horizontal="right" wrapText="1" indent="2"/>
    </xf>
    <xf numFmtId="166" fontId="9" fillId="33" borderId="24" xfId="0" applyNumberFormat="1" applyFont="1" applyFill="1" applyBorder="1" applyAlignment="1">
      <alignment horizontal="right" wrapText="1" indent="1"/>
    </xf>
    <xf numFmtId="166" fontId="9" fillId="33" borderId="23" xfId="0" applyNumberFormat="1" applyFont="1" applyFill="1" applyBorder="1" applyAlignment="1">
      <alignment vertical="center" wrapText="1"/>
    </xf>
    <xf numFmtId="164" fontId="9" fillId="33" borderId="23" xfId="0" applyNumberFormat="1" applyFont="1" applyFill="1" applyBorder="1" applyAlignment="1">
      <alignment horizontal="right" vertical="center" wrapText="1" indent="2"/>
    </xf>
    <xf numFmtId="166" fontId="12" fillId="33" borderId="29" xfId="0" applyNumberFormat="1" applyFont="1" applyFill="1" applyBorder="1" applyAlignment="1">
      <alignment horizontal="right" wrapText="1" indent="2"/>
    </xf>
    <xf numFmtId="0" fontId="9" fillId="35" borderId="25" xfId="0" applyFont="1" applyFill="1" applyBorder="1" applyAlignment="1">
      <alignment horizontal="left" wrapText="1" indent="1"/>
    </xf>
    <xf numFmtId="166" fontId="9" fillId="33" borderId="29" xfId="0" applyNumberFormat="1" applyFont="1" applyFill="1" applyBorder="1" applyAlignment="1">
      <alignment horizontal="right" wrapText="1" indent="2"/>
    </xf>
    <xf numFmtId="166" fontId="11" fillId="33" borderId="29" xfId="0" applyNumberFormat="1" applyFont="1" applyFill="1" applyBorder="1" applyAlignment="1">
      <alignment horizontal="right" wrapText="1" indent="2"/>
    </xf>
    <xf numFmtId="166" fontId="9" fillId="33" borderId="30" xfId="0" applyNumberFormat="1" applyFont="1" applyFill="1" applyBorder="1" applyAlignment="1">
      <alignment horizontal="right" wrapText="1" indent="1"/>
    </xf>
    <xf numFmtId="166" fontId="9" fillId="33" borderId="27" xfId="0" applyNumberFormat="1" applyFont="1" applyFill="1" applyBorder="1" applyAlignment="1">
      <alignment horizontal="right" wrapText="1" indent="1"/>
    </xf>
    <xf numFmtId="166" fontId="9" fillId="33" borderId="26" xfId="0" applyNumberFormat="1" applyFont="1" applyFill="1" applyBorder="1" applyAlignment="1">
      <alignment vertical="center" wrapText="1"/>
    </xf>
    <xf numFmtId="164" fontId="9" fillId="33" borderId="26" xfId="0" applyNumberFormat="1" applyFont="1" applyFill="1" applyBorder="1" applyAlignment="1">
      <alignment horizontal="right" vertical="center" wrapText="1" indent="2"/>
    </xf>
    <xf numFmtId="166" fontId="11" fillId="33" borderId="31" xfId="0" applyNumberFormat="1" applyFont="1" applyFill="1" applyBorder="1" applyAlignment="1">
      <alignment horizontal="right" wrapText="1" indent="2"/>
    </xf>
    <xf numFmtId="0" fontId="9" fillId="35" borderId="32" xfId="0" applyFont="1" applyFill="1" applyBorder="1" applyAlignment="1">
      <alignment horizontal="left" wrapText="1" indent="1"/>
    </xf>
    <xf numFmtId="0" fontId="9" fillId="33" borderId="19" xfId="0" applyFont="1" applyFill="1" applyBorder="1" applyAlignment="1">
      <alignment horizontal="center" wrapText="1"/>
    </xf>
    <xf numFmtId="0" fontId="10" fillId="33" borderId="0" xfId="0" applyFont="1" applyFill="1" applyBorder="1" applyAlignment="1">
      <alignment horizontal="right" vertical="top" wrapText="1"/>
    </xf>
    <xf numFmtId="0" fontId="9" fillId="33" borderId="0" xfId="0" applyFont="1" applyFill="1" applyBorder="1" applyAlignment="1">
      <alignment horizontal="left" vertical="center" wrapText="1"/>
    </xf>
    <xf numFmtId="0" fontId="7" fillId="0" borderId="0" xfId="0" applyFont="1" applyAlignment="1">
      <alignment/>
    </xf>
    <xf numFmtId="0" fontId="14" fillId="0" borderId="0" xfId="0" applyFont="1" applyAlignment="1">
      <alignment/>
    </xf>
    <xf numFmtId="3" fontId="14" fillId="0" borderId="0" xfId="0" applyNumberFormat="1" applyFont="1" applyAlignment="1">
      <alignment/>
    </xf>
    <xf numFmtId="0" fontId="15" fillId="0" borderId="0" xfId="53" applyNumberFormat="1" applyFont="1" applyFill="1" applyBorder="1" applyAlignment="1" applyProtection="1">
      <alignment horizontal="left" indent="2"/>
      <protection/>
    </xf>
    <xf numFmtId="0" fontId="9" fillId="0" borderId="0" xfId="0" applyFont="1" applyAlignment="1">
      <alignment/>
    </xf>
    <xf numFmtId="0" fontId="10" fillId="0" borderId="0" xfId="0" applyFont="1" applyAlignment="1">
      <alignment horizontal="left" indent="2"/>
    </xf>
    <xf numFmtId="15" fontId="10" fillId="0" borderId="0" xfId="0" applyNumberFormat="1" applyFont="1" applyAlignment="1">
      <alignment horizontal="left"/>
    </xf>
    <xf numFmtId="15" fontId="9" fillId="0" borderId="0" xfId="0" applyNumberFormat="1" applyFont="1" applyAlignment="1">
      <alignment horizontal="left"/>
    </xf>
    <xf numFmtId="168" fontId="0" fillId="0" borderId="0" xfId="0" applyNumberFormat="1" applyAlignment="1">
      <alignment/>
    </xf>
    <xf numFmtId="0" fontId="0" fillId="0" borderId="0" xfId="0" applyBorder="1" applyAlignment="1">
      <alignment/>
    </xf>
    <xf numFmtId="0" fontId="7" fillId="34" borderId="33"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10" fillId="36" borderId="22" xfId="0" applyFont="1" applyFill="1" applyBorder="1" applyAlignment="1">
      <alignment horizontal="left" wrapText="1" indent="1"/>
    </xf>
    <xf numFmtId="165" fontId="9" fillId="33" borderId="34" xfId="0" applyNumberFormat="1" applyFont="1" applyFill="1" applyBorder="1" applyAlignment="1">
      <alignment horizontal="right" wrapText="1" indent="1"/>
    </xf>
    <xf numFmtId="165" fontId="9" fillId="33" borderId="25" xfId="0" applyNumberFormat="1" applyFont="1" applyFill="1" applyBorder="1" applyAlignment="1">
      <alignment horizontal="right" wrapText="1" indent="1"/>
    </xf>
    <xf numFmtId="0" fontId="10" fillId="36" borderId="25" xfId="0" applyFont="1" applyFill="1" applyBorder="1" applyAlignment="1">
      <alignment horizontal="left" wrapText="1" indent="1"/>
    </xf>
    <xf numFmtId="3" fontId="9" fillId="33" borderId="34" xfId="0" applyNumberFormat="1" applyFont="1" applyFill="1" applyBorder="1" applyAlignment="1">
      <alignment horizontal="right" wrapText="1" indent="1"/>
    </xf>
    <xf numFmtId="3" fontId="9" fillId="33" borderId="25" xfId="0" applyNumberFormat="1" applyFont="1" applyFill="1" applyBorder="1" applyAlignment="1">
      <alignment horizontal="right" wrapText="1" indent="1"/>
    </xf>
    <xf numFmtId="0" fontId="9" fillId="33" borderId="0" xfId="0" applyFont="1" applyFill="1" applyBorder="1" applyAlignment="1">
      <alignment horizontal="right" vertical="top" wrapText="1"/>
    </xf>
    <xf numFmtId="0" fontId="7" fillId="34" borderId="3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0" fillId="0" borderId="0" xfId="0" applyAlignment="1">
      <alignment horizontal="right"/>
    </xf>
    <xf numFmtId="0" fontId="8" fillId="34" borderId="13" xfId="0" applyFont="1" applyFill="1" applyBorder="1" applyAlignment="1">
      <alignment horizontal="center" vertical="center" wrapText="1"/>
    </xf>
    <xf numFmtId="3" fontId="10" fillId="33" borderId="23" xfId="0" applyNumberFormat="1" applyFont="1" applyFill="1" applyBorder="1" applyAlignment="1">
      <alignment horizontal="center" vertical="center" wrapText="1"/>
    </xf>
    <xf numFmtId="3" fontId="9" fillId="33" borderId="35" xfId="0" applyNumberFormat="1" applyFont="1" applyFill="1" applyBorder="1" applyAlignment="1">
      <alignment horizontal="right" wrapText="1" indent="1"/>
    </xf>
    <xf numFmtId="0" fontId="0" fillId="0" borderId="0" xfId="0" applyAlignment="1">
      <alignment horizontal="left" indent="2"/>
    </xf>
    <xf numFmtId="0" fontId="5" fillId="0" borderId="0" xfId="0" applyFont="1" applyBorder="1" applyAlignment="1">
      <alignment horizontal="left"/>
    </xf>
    <xf numFmtId="0" fontId="7" fillId="34" borderId="36" xfId="0" applyFont="1" applyFill="1" applyBorder="1" applyAlignment="1">
      <alignment horizontal="center" vertical="center" wrapText="1"/>
    </xf>
    <xf numFmtId="172" fontId="9" fillId="33" borderId="20" xfId="0" applyNumberFormat="1" applyFont="1" applyFill="1" applyBorder="1" applyAlignment="1">
      <alignment horizontal="right" wrapText="1" indent="1"/>
    </xf>
    <xf numFmtId="171" fontId="9" fillId="33" borderId="20" xfId="0" applyNumberFormat="1" applyFont="1" applyFill="1" applyBorder="1" applyAlignment="1">
      <alignment horizontal="right" wrapText="1" indent="1"/>
    </xf>
    <xf numFmtId="171" fontId="9" fillId="33" borderId="37" xfId="0" applyNumberFormat="1" applyFont="1" applyFill="1" applyBorder="1" applyAlignment="1">
      <alignment horizontal="right" wrapText="1" indent="1"/>
    </xf>
    <xf numFmtId="171" fontId="9" fillId="33" borderId="22" xfId="0" applyNumberFormat="1" applyFont="1" applyFill="1" applyBorder="1" applyAlignment="1">
      <alignment horizontal="right" wrapText="1" indent="1"/>
    </xf>
    <xf numFmtId="0" fontId="10" fillId="33" borderId="20" xfId="0" applyFont="1" applyFill="1" applyBorder="1" applyAlignment="1">
      <alignment horizontal="center" vertical="center" wrapText="1"/>
    </xf>
    <xf numFmtId="173" fontId="9" fillId="33" borderId="35" xfId="42" applyNumberFormat="1" applyFont="1" applyFill="1" applyBorder="1" applyAlignment="1" applyProtection="1">
      <alignment horizontal="right" wrapText="1" indent="1"/>
      <protection/>
    </xf>
    <xf numFmtId="173" fontId="9" fillId="33" borderId="38" xfId="42" applyNumberFormat="1" applyFont="1" applyFill="1" applyBorder="1" applyAlignment="1" applyProtection="1">
      <alignment horizontal="right" wrapText="1" indent="1"/>
      <protection/>
    </xf>
    <xf numFmtId="171" fontId="9" fillId="33" borderId="39" xfId="42" applyNumberFormat="1" applyFont="1" applyFill="1" applyBorder="1" applyAlignment="1" applyProtection="1">
      <alignment horizontal="right" wrapText="1" indent="1"/>
      <protection/>
    </xf>
    <xf numFmtId="171" fontId="9" fillId="33" borderId="35" xfId="42" applyNumberFormat="1" applyFont="1" applyFill="1" applyBorder="1" applyAlignment="1" applyProtection="1">
      <alignment horizontal="right" wrapText="1" indent="1"/>
      <protection/>
    </xf>
    <xf numFmtId="171" fontId="9" fillId="33" borderId="38" xfId="42" applyNumberFormat="1" applyFont="1" applyFill="1" applyBorder="1" applyAlignment="1" applyProtection="1">
      <alignment horizontal="right" wrapText="1" indent="1"/>
      <protection/>
    </xf>
    <xf numFmtId="171" fontId="9" fillId="33" borderId="40" xfId="42" applyNumberFormat="1" applyFont="1" applyFill="1" applyBorder="1" applyAlignment="1" applyProtection="1">
      <alignment horizontal="right" wrapText="1" indent="1"/>
      <protection/>
    </xf>
    <xf numFmtId="171" fontId="9" fillId="33" borderId="41" xfId="42" applyNumberFormat="1" applyFont="1" applyFill="1" applyBorder="1" applyAlignment="1" applyProtection="1">
      <alignment horizontal="right" wrapText="1" indent="1"/>
      <protection/>
    </xf>
    <xf numFmtId="3" fontId="10" fillId="33" borderId="42" xfId="0" applyNumberFormat="1" applyFont="1" applyFill="1" applyBorder="1" applyAlignment="1">
      <alignment horizontal="center" vertical="center" wrapText="1"/>
    </xf>
    <xf numFmtId="173" fontId="9" fillId="33" borderId="33" xfId="42" applyNumberFormat="1" applyFont="1" applyFill="1" applyBorder="1" applyAlignment="1" applyProtection="1">
      <alignment horizontal="right" wrapText="1" indent="1"/>
      <protection/>
    </xf>
    <xf numFmtId="173" fontId="9" fillId="33" borderId="13" xfId="42" applyNumberFormat="1" applyFont="1" applyFill="1" applyBorder="1" applyAlignment="1" applyProtection="1">
      <alignment horizontal="right" wrapText="1" indent="1"/>
      <protection/>
    </xf>
    <xf numFmtId="171" fontId="9" fillId="33" borderId="26" xfId="42" applyNumberFormat="1" applyFont="1" applyFill="1" applyBorder="1" applyAlignment="1" applyProtection="1">
      <alignment horizontal="right" wrapText="1" indent="1"/>
      <protection/>
    </xf>
    <xf numFmtId="0" fontId="5" fillId="0" borderId="43" xfId="0" applyFont="1" applyBorder="1" applyAlignment="1">
      <alignment horizontal="left" indent="2"/>
    </xf>
    <xf numFmtId="175" fontId="5" fillId="0" borderId="27" xfId="42" applyNumberFormat="1" applyFont="1" applyFill="1" applyBorder="1" applyAlignment="1" applyProtection="1">
      <alignment horizontal="right" indent="8"/>
      <protection/>
    </xf>
    <xf numFmtId="9" fontId="0" fillId="0" borderId="0" xfId="59" applyNumberFormat="1" applyFont="1" applyFill="1" applyBorder="1" applyAlignment="1" applyProtection="1">
      <alignment/>
      <protection/>
    </xf>
    <xf numFmtId="10" fontId="0" fillId="0" borderId="0" xfId="59" applyNumberFormat="1" applyFont="1" applyFill="1" applyBorder="1" applyAlignment="1" applyProtection="1">
      <alignment/>
      <protection/>
    </xf>
    <xf numFmtId="0" fontId="5" fillId="0" borderId="44" xfId="0" applyFont="1" applyBorder="1" applyAlignment="1">
      <alignment horizontal="left" indent="2"/>
    </xf>
    <xf numFmtId="174" fontId="5" fillId="0" borderId="45" xfId="0" applyNumberFormat="1" applyFont="1" applyBorder="1" applyAlignment="1">
      <alignment horizontal="left" indent="7"/>
    </xf>
    <xf numFmtId="175" fontId="5" fillId="0" borderId="46" xfId="42" applyNumberFormat="1" applyFont="1" applyFill="1" applyBorder="1" applyAlignment="1" applyProtection="1">
      <alignment horizontal="right" indent="8"/>
      <protection/>
    </xf>
    <xf numFmtId="0" fontId="0" fillId="0" borderId="43" xfId="0" applyFont="1" applyBorder="1" applyAlignment="1">
      <alignment horizontal="left" indent="2"/>
    </xf>
    <xf numFmtId="174" fontId="0" fillId="0" borderId="47" xfId="0" applyNumberFormat="1" applyBorder="1" applyAlignment="1">
      <alignment horizontal="left" indent="7"/>
    </xf>
    <xf numFmtId="175" fontId="0" fillId="0" borderId="48" xfId="42" applyNumberFormat="1" applyFont="1" applyFill="1" applyBorder="1" applyAlignment="1" applyProtection="1">
      <alignment horizontal="right" indent="8"/>
      <protection/>
    </xf>
    <xf numFmtId="0" fontId="0" fillId="0" borderId="44" xfId="0" applyFont="1" applyBorder="1" applyAlignment="1">
      <alignment horizontal="left" indent="2"/>
    </xf>
    <xf numFmtId="0" fontId="0" fillId="33" borderId="45" xfId="0" applyFont="1" applyFill="1" applyBorder="1" applyAlignment="1">
      <alignment horizontal="center" wrapText="1"/>
    </xf>
    <xf numFmtId="0" fontId="0" fillId="33" borderId="49" xfId="0" applyFill="1" applyBorder="1" applyAlignment="1">
      <alignment wrapText="1"/>
    </xf>
    <xf numFmtId="178" fontId="0" fillId="0" borderId="0" xfId="59" applyNumberFormat="1" applyFont="1" applyFill="1" applyBorder="1" applyAlignment="1" applyProtection="1">
      <alignment/>
      <protection/>
    </xf>
    <xf numFmtId="0" fontId="0" fillId="0" borderId="50" xfId="0" applyFont="1" applyBorder="1" applyAlignment="1">
      <alignment horizontal="left" indent="2"/>
    </xf>
    <xf numFmtId="0" fontId="0" fillId="33" borderId="51" xfId="0" applyFont="1" applyFill="1" applyBorder="1" applyAlignment="1">
      <alignment horizontal="center" wrapText="1"/>
    </xf>
    <xf numFmtId="0" fontId="0" fillId="33" borderId="52" xfId="0" applyFont="1" applyFill="1" applyBorder="1" applyAlignment="1">
      <alignment horizontal="center" wrapText="1"/>
    </xf>
    <xf numFmtId="0" fontId="0" fillId="0" borderId="53" xfId="0" applyFont="1" applyBorder="1" applyAlignment="1">
      <alignment horizontal="left" indent="2"/>
    </xf>
    <xf numFmtId="179" fontId="0" fillId="0" borderId="0" xfId="0" applyNumberFormat="1" applyAlignment="1">
      <alignment/>
    </xf>
    <xf numFmtId="11" fontId="0" fillId="0" borderId="0" xfId="0" applyNumberFormat="1" applyAlignment="1">
      <alignment/>
    </xf>
    <xf numFmtId="0" fontId="2" fillId="0" borderId="0" xfId="0" applyFont="1" applyAlignment="1">
      <alignment horizontal="left"/>
    </xf>
    <xf numFmtId="0" fontId="19" fillId="0" borderId="0" xfId="0" applyFont="1" applyAlignment="1">
      <alignment horizontal="left" indent="2"/>
    </xf>
    <xf numFmtId="0" fontId="22" fillId="0" borderId="0" xfId="0" applyFont="1" applyAlignment="1">
      <alignment/>
    </xf>
    <xf numFmtId="0" fontId="0" fillId="0" borderId="54" xfId="0" applyBorder="1" applyAlignment="1">
      <alignment/>
    </xf>
    <xf numFmtId="0" fontId="0" fillId="0" borderId="12" xfId="0" applyFont="1" applyBorder="1" applyAlignment="1">
      <alignment horizontal="center"/>
    </xf>
    <xf numFmtId="2" fontId="0" fillId="0" borderId="55" xfId="0" applyNumberFormat="1" applyBorder="1" applyAlignment="1">
      <alignment horizontal="center"/>
    </xf>
    <xf numFmtId="0" fontId="0" fillId="0" borderId="55" xfId="0" applyBorder="1" applyAlignment="1">
      <alignment horizontal="center"/>
    </xf>
    <xf numFmtId="0" fontId="25" fillId="0" borderId="55" xfId="0" applyFont="1" applyBorder="1" applyAlignment="1">
      <alignment horizontal="center"/>
    </xf>
    <xf numFmtId="0" fontId="0" fillId="0" borderId="55" xfId="0" applyBorder="1" applyAlignment="1">
      <alignment/>
    </xf>
    <xf numFmtId="2" fontId="25" fillId="0" borderId="55" xfId="0" applyNumberFormat="1" applyFont="1" applyBorder="1" applyAlignment="1">
      <alignment horizontal="center"/>
    </xf>
    <xf numFmtId="0" fontId="0" fillId="36" borderId="56" xfId="0" applyFill="1" applyBorder="1" applyAlignment="1">
      <alignment horizontal="center"/>
    </xf>
    <xf numFmtId="164" fontId="0" fillId="36" borderId="0" xfId="0" applyNumberFormat="1" applyFill="1" applyAlignment="1">
      <alignment horizontal="center"/>
    </xf>
    <xf numFmtId="164" fontId="25" fillId="36" borderId="57" xfId="0" applyNumberFormat="1" applyFont="1" applyFill="1" applyBorder="1" applyAlignment="1">
      <alignment horizontal="center"/>
    </xf>
    <xf numFmtId="180" fontId="0" fillId="36" borderId="58" xfId="0" applyNumberFormat="1" applyFill="1" applyBorder="1" applyAlignment="1">
      <alignment/>
    </xf>
    <xf numFmtId="167" fontId="0" fillId="36" borderId="58" xfId="0" applyNumberFormat="1" applyFill="1" applyBorder="1" applyAlignment="1">
      <alignment/>
    </xf>
    <xf numFmtId="10" fontId="0" fillId="36" borderId="0" xfId="59" applyNumberFormat="1" applyFont="1" applyFill="1" applyBorder="1" applyAlignment="1" applyProtection="1">
      <alignment/>
      <protection/>
    </xf>
    <xf numFmtId="2" fontId="0" fillId="0" borderId="0" xfId="0" applyNumberFormat="1" applyAlignment="1">
      <alignment horizontal="center"/>
    </xf>
    <xf numFmtId="164" fontId="0" fillId="0" borderId="0" xfId="0" applyNumberFormat="1" applyAlignment="1">
      <alignment horizontal="center"/>
    </xf>
    <xf numFmtId="164" fontId="25" fillId="0" borderId="0" xfId="0" applyNumberFormat="1" applyFont="1" applyAlignment="1">
      <alignment horizontal="center"/>
    </xf>
    <xf numFmtId="180" fontId="0" fillId="0" borderId="0" xfId="0" applyNumberFormat="1" applyAlignment="1">
      <alignment/>
    </xf>
    <xf numFmtId="167" fontId="0" fillId="0" borderId="0" xfId="0" applyNumberFormat="1" applyAlignment="1">
      <alignment/>
    </xf>
    <xf numFmtId="1" fontId="0" fillId="0" borderId="0" xfId="0" applyNumberFormat="1" applyAlignment="1">
      <alignment horizontal="center"/>
    </xf>
    <xf numFmtId="164" fontId="26" fillId="0" borderId="0" xfId="0" applyNumberFormat="1" applyFont="1" applyAlignment="1">
      <alignment horizontal="center"/>
    </xf>
    <xf numFmtId="2" fontId="25" fillId="0" borderId="0" xfId="0" applyNumberFormat="1" applyFont="1" applyAlignment="1">
      <alignment horizontal="center"/>
    </xf>
    <xf numFmtId="2" fontId="0" fillId="36" borderId="57" xfId="0" applyNumberFormat="1" applyFill="1" applyBorder="1" applyAlignment="1">
      <alignment horizontal="center"/>
    </xf>
    <xf numFmtId="164" fontId="0" fillId="36" borderId="57" xfId="0" applyNumberFormat="1" applyFill="1" applyBorder="1" applyAlignment="1">
      <alignment horizontal="center"/>
    </xf>
    <xf numFmtId="180" fontId="0" fillId="36" borderId="57" xfId="0" applyNumberFormat="1" applyFill="1" applyBorder="1" applyAlignment="1">
      <alignment/>
    </xf>
    <xf numFmtId="167" fontId="0" fillId="36" borderId="57" xfId="0" applyNumberFormat="1" applyFill="1" applyBorder="1" applyAlignment="1">
      <alignment/>
    </xf>
    <xf numFmtId="10" fontId="0" fillId="36" borderId="57" xfId="59" applyNumberFormat="1" applyFont="1" applyFill="1" applyBorder="1" applyAlignment="1" applyProtection="1">
      <alignment/>
      <protection/>
    </xf>
    <xf numFmtId="2" fontId="0" fillId="36" borderId="0" xfId="0" applyNumberFormat="1" applyFill="1" applyAlignment="1">
      <alignment horizontal="center"/>
    </xf>
    <xf numFmtId="2" fontId="0" fillId="37" borderId="59" xfId="0" applyNumberFormat="1" applyFill="1" applyBorder="1" applyAlignment="1">
      <alignment horizontal="center"/>
    </xf>
    <xf numFmtId="164" fontId="0" fillId="37" borderId="60" xfId="0" applyNumberFormat="1" applyFill="1" applyBorder="1" applyAlignment="1">
      <alignment horizontal="center"/>
    </xf>
    <xf numFmtId="164" fontId="25" fillId="37" borderId="60" xfId="0" applyNumberFormat="1" applyFont="1" applyFill="1" applyBorder="1" applyAlignment="1">
      <alignment horizontal="center"/>
    </xf>
    <xf numFmtId="180" fontId="0" fillId="37" borderId="60" xfId="0" applyNumberFormat="1" applyFill="1" applyBorder="1" applyAlignment="1">
      <alignment/>
    </xf>
    <xf numFmtId="167" fontId="0" fillId="37" borderId="60" xfId="0" applyNumberFormat="1" applyFill="1" applyBorder="1" applyAlignment="1">
      <alignment/>
    </xf>
    <xf numFmtId="10" fontId="0" fillId="37" borderId="61" xfId="59" applyNumberFormat="1" applyFont="1" applyFill="1" applyBorder="1" applyAlignment="1" applyProtection="1">
      <alignment/>
      <protection/>
    </xf>
    <xf numFmtId="2" fontId="0" fillId="0" borderId="62" xfId="0" applyNumberFormat="1" applyBorder="1" applyAlignment="1">
      <alignment horizontal="center"/>
    </xf>
    <xf numFmtId="164" fontId="0" fillId="0" borderId="0" xfId="0" applyNumberFormat="1" applyBorder="1" applyAlignment="1">
      <alignment horizontal="center"/>
    </xf>
    <xf numFmtId="164" fontId="25" fillId="0" borderId="0" xfId="0" applyNumberFormat="1" applyFont="1" applyBorder="1" applyAlignment="1">
      <alignment horizontal="center"/>
    </xf>
    <xf numFmtId="180" fontId="0" fillId="0" borderId="0" xfId="0" applyNumberFormat="1" applyBorder="1" applyAlignment="1">
      <alignment/>
    </xf>
    <xf numFmtId="167" fontId="0" fillId="0" borderId="0" xfId="0" applyNumberFormat="1" applyBorder="1" applyAlignment="1">
      <alignment/>
    </xf>
    <xf numFmtId="10" fontId="0" fillId="0" borderId="10" xfId="59" applyNumberFormat="1" applyFont="1" applyFill="1" applyBorder="1" applyAlignment="1" applyProtection="1">
      <alignment/>
      <protection/>
    </xf>
    <xf numFmtId="2" fontId="0" fillId="37" borderId="62" xfId="0" applyNumberFormat="1" applyFont="1" applyFill="1" applyBorder="1" applyAlignment="1">
      <alignment horizontal="center"/>
    </xf>
    <xf numFmtId="164" fontId="0" fillId="37" borderId="57" xfId="0" applyNumberFormat="1" applyFont="1" applyFill="1" applyBorder="1" applyAlignment="1">
      <alignment horizontal="center"/>
    </xf>
    <xf numFmtId="164" fontId="26" fillId="37" borderId="57" xfId="0" applyNumberFormat="1" applyFont="1" applyFill="1" applyBorder="1" applyAlignment="1">
      <alignment horizontal="center"/>
    </xf>
    <xf numFmtId="180" fontId="0" fillId="37" borderId="57" xfId="0" applyNumberFormat="1" applyFont="1" applyFill="1" applyBorder="1" applyAlignment="1">
      <alignment/>
    </xf>
    <xf numFmtId="167" fontId="0" fillId="37" borderId="57" xfId="0" applyNumberFormat="1" applyFont="1" applyFill="1" applyBorder="1" applyAlignment="1">
      <alignment/>
    </xf>
    <xf numFmtId="10" fontId="0" fillId="37" borderId="63" xfId="59" applyNumberFormat="1" applyFont="1" applyFill="1" applyBorder="1" applyAlignment="1" applyProtection="1">
      <alignment/>
      <protection/>
    </xf>
    <xf numFmtId="2" fontId="0" fillId="0" borderId="62" xfId="0" applyNumberFormat="1" applyFont="1" applyBorder="1" applyAlignment="1">
      <alignment horizontal="center"/>
    </xf>
    <xf numFmtId="164" fontId="0" fillId="0" borderId="0" xfId="0" applyNumberFormat="1" applyFont="1" applyBorder="1" applyAlignment="1">
      <alignment horizontal="center"/>
    </xf>
    <xf numFmtId="164" fontId="26" fillId="0" borderId="0" xfId="0" applyNumberFormat="1" applyFont="1" applyBorder="1" applyAlignment="1">
      <alignment horizontal="center"/>
    </xf>
    <xf numFmtId="180" fontId="0" fillId="0" borderId="0" xfId="0" applyNumberFormat="1" applyFont="1" applyBorder="1" applyAlignment="1">
      <alignment/>
    </xf>
    <xf numFmtId="167" fontId="0" fillId="0" borderId="0" xfId="0" applyNumberFormat="1" applyFont="1" applyBorder="1" applyAlignment="1">
      <alignment/>
    </xf>
    <xf numFmtId="0" fontId="0" fillId="0" borderId="12" xfId="0" applyBorder="1" applyAlignment="1">
      <alignment/>
    </xf>
    <xf numFmtId="0" fontId="0" fillId="33" borderId="54" xfId="0" applyFill="1" applyBorder="1" applyAlignment="1">
      <alignment/>
    </xf>
    <xf numFmtId="1" fontId="0" fillId="38" borderId="59" xfId="0" applyNumberFormat="1" applyFill="1" applyBorder="1" applyAlignment="1">
      <alignment horizontal="center"/>
    </xf>
    <xf numFmtId="164" fontId="26" fillId="38" borderId="60" xfId="0" applyNumberFormat="1" applyFont="1" applyFill="1" applyBorder="1" applyAlignment="1">
      <alignment horizontal="center"/>
    </xf>
    <xf numFmtId="2" fontId="25" fillId="38" borderId="60" xfId="0" applyNumberFormat="1" applyFont="1" applyFill="1" applyBorder="1" applyAlignment="1">
      <alignment horizontal="center"/>
    </xf>
    <xf numFmtId="180" fontId="0" fillId="38" borderId="60" xfId="0" applyNumberFormat="1" applyFill="1" applyBorder="1" applyAlignment="1">
      <alignment/>
    </xf>
    <xf numFmtId="167" fontId="0" fillId="38" borderId="60" xfId="0" applyNumberFormat="1" applyFill="1" applyBorder="1" applyAlignment="1">
      <alignment/>
    </xf>
    <xf numFmtId="10" fontId="0" fillId="38" borderId="61" xfId="59" applyNumberFormat="1" applyFont="1" applyFill="1" applyBorder="1" applyAlignment="1" applyProtection="1">
      <alignment/>
      <protection/>
    </xf>
    <xf numFmtId="0" fontId="0" fillId="0" borderId="62" xfId="0" applyBorder="1" applyAlignment="1">
      <alignment/>
    </xf>
    <xf numFmtId="0" fontId="0" fillId="0" borderId="64" xfId="0" applyBorder="1" applyAlignment="1">
      <alignment/>
    </xf>
    <xf numFmtId="1" fontId="0" fillId="0" borderId="62" xfId="0" applyNumberFormat="1" applyBorder="1" applyAlignment="1">
      <alignment horizontal="center"/>
    </xf>
    <xf numFmtId="2" fontId="25" fillId="0" borderId="0" xfId="0" applyNumberFormat="1" applyFont="1" applyBorder="1" applyAlignment="1">
      <alignment horizontal="center"/>
    </xf>
    <xf numFmtId="1" fontId="0" fillId="38" borderId="65" xfId="0" applyNumberFormat="1" applyFill="1" applyBorder="1" applyAlignment="1">
      <alignment horizontal="center"/>
    </xf>
    <xf numFmtId="164" fontId="26" fillId="38" borderId="57" xfId="0" applyNumberFormat="1" applyFont="1" applyFill="1" applyBorder="1" applyAlignment="1">
      <alignment horizontal="center"/>
    </xf>
    <xf numFmtId="2" fontId="25" fillId="38" borderId="57" xfId="0" applyNumberFormat="1" applyFont="1" applyFill="1" applyBorder="1" applyAlignment="1">
      <alignment horizontal="center"/>
    </xf>
    <xf numFmtId="180" fontId="0" fillId="38" borderId="57" xfId="0" applyNumberFormat="1" applyFill="1" applyBorder="1" applyAlignment="1">
      <alignment/>
    </xf>
    <xf numFmtId="167" fontId="0" fillId="38" borderId="57" xfId="0" applyNumberFormat="1" applyFill="1" applyBorder="1" applyAlignment="1">
      <alignment/>
    </xf>
    <xf numFmtId="10" fontId="0" fillId="38" borderId="63" xfId="59" applyNumberFormat="1" applyFont="1" applyFill="1" applyBorder="1" applyAlignment="1" applyProtection="1">
      <alignment/>
      <protection/>
    </xf>
    <xf numFmtId="0" fontId="0" fillId="0" borderId="11" xfId="0" applyBorder="1" applyAlignment="1">
      <alignment/>
    </xf>
    <xf numFmtId="164" fontId="28" fillId="33" borderId="54" xfId="0" applyNumberFormat="1" applyFont="1" applyFill="1" applyBorder="1" applyAlignment="1">
      <alignment horizontal="center"/>
    </xf>
    <xf numFmtId="0" fontId="0" fillId="33" borderId="66" xfId="0" applyFill="1" applyBorder="1" applyAlignment="1">
      <alignment/>
    </xf>
    <xf numFmtId="0" fontId="0" fillId="0" borderId="66" xfId="0" applyBorder="1" applyAlignment="1">
      <alignment/>
    </xf>
    <xf numFmtId="2" fontId="0" fillId="37" borderId="11" xfId="0" applyNumberFormat="1" applyFill="1" applyBorder="1" applyAlignment="1">
      <alignment horizontal="center"/>
    </xf>
    <xf numFmtId="164" fontId="0" fillId="37" borderId="67" xfId="0" applyNumberFormat="1" applyFill="1" applyBorder="1" applyAlignment="1">
      <alignment horizontal="center"/>
    </xf>
    <xf numFmtId="164" fontId="25" fillId="37" borderId="67" xfId="0" applyNumberFormat="1" applyFont="1" applyFill="1" applyBorder="1" applyAlignment="1">
      <alignment horizontal="center"/>
    </xf>
    <xf numFmtId="180" fontId="0" fillId="37" borderId="67" xfId="0" applyNumberFormat="1" applyFill="1" applyBorder="1" applyAlignment="1">
      <alignment/>
    </xf>
    <xf numFmtId="167" fontId="0" fillId="37" borderId="67" xfId="0" applyNumberFormat="1" applyFill="1" applyBorder="1" applyAlignment="1">
      <alignment/>
    </xf>
    <xf numFmtId="10" fontId="0" fillId="37" borderId="68" xfId="59" applyNumberFormat="1" applyFont="1" applyFill="1" applyBorder="1" applyAlignment="1" applyProtection="1">
      <alignment/>
      <protection/>
    </xf>
    <xf numFmtId="2" fontId="0" fillId="36" borderId="12" xfId="0" applyNumberFormat="1" applyFill="1" applyBorder="1" applyAlignment="1">
      <alignment horizontal="center"/>
    </xf>
    <xf numFmtId="164" fontId="0" fillId="36" borderId="67" xfId="0" applyNumberFormat="1" applyFill="1" applyBorder="1" applyAlignment="1">
      <alignment horizontal="center"/>
    </xf>
    <xf numFmtId="164" fontId="25" fillId="36" borderId="67" xfId="0" applyNumberFormat="1" applyFont="1" applyFill="1" applyBorder="1" applyAlignment="1">
      <alignment horizontal="center"/>
    </xf>
    <xf numFmtId="180" fontId="0" fillId="36" borderId="67" xfId="0" applyNumberFormat="1" applyFill="1" applyBorder="1" applyAlignment="1">
      <alignment/>
    </xf>
    <xf numFmtId="167" fontId="0" fillId="36" borderId="67" xfId="0" applyNumberFormat="1" applyFill="1" applyBorder="1" applyAlignment="1">
      <alignment/>
    </xf>
    <xf numFmtId="10" fontId="0" fillId="36" borderId="67" xfId="59" applyNumberFormat="1" applyFont="1" applyFill="1" applyBorder="1" applyAlignment="1" applyProtection="1">
      <alignment/>
      <protection/>
    </xf>
    <xf numFmtId="166" fontId="0" fillId="0" borderId="0" xfId="0" applyNumberFormat="1" applyAlignment="1">
      <alignment/>
    </xf>
    <xf numFmtId="1" fontId="0" fillId="38" borderId="11" xfId="0" applyNumberFormat="1" applyFill="1" applyBorder="1" applyAlignment="1">
      <alignment horizontal="center"/>
    </xf>
    <xf numFmtId="164" fontId="26" fillId="38" borderId="67" xfId="0" applyNumberFormat="1" applyFont="1" applyFill="1" applyBorder="1" applyAlignment="1">
      <alignment horizontal="center"/>
    </xf>
    <xf numFmtId="2" fontId="25" fillId="38" borderId="67" xfId="0" applyNumberFormat="1" applyFont="1" applyFill="1" applyBorder="1" applyAlignment="1">
      <alignment horizontal="center"/>
    </xf>
    <xf numFmtId="180" fontId="0" fillId="38" borderId="67" xfId="0" applyNumberFormat="1" applyFill="1" applyBorder="1" applyAlignment="1">
      <alignment/>
    </xf>
    <xf numFmtId="167" fontId="0" fillId="38" borderId="67" xfId="0" applyNumberFormat="1" applyFill="1" applyBorder="1" applyAlignment="1">
      <alignment/>
    </xf>
    <xf numFmtId="10" fontId="0" fillId="38" borderId="68" xfId="59" applyNumberFormat="1" applyFont="1" applyFill="1" applyBorder="1" applyAlignment="1" applyProtection="1">
      <alignment/>
      <protection/>
    </xf>
    <xf numFmtId="166" fontId="0" fillId="0" borderId="12" xfId="0" applyNumberFormat="1" applyBorder="1" applyAlignment="1">
      <alignment/>
    </xf>
    <xf numFmtId="0" fontId="19" fillId="0" borderId="0" xfId="0" applyFont="1" applyAlignment="1">
      <alignment/>
    </xf>
    <xf numFmtId="0" fontId="29" fillId="0" borderId="0" xfId="0" applyFont="1" applyBorder="1" applyAlignment="1">
      <alignment vertical="center"/>
    </xf>
    <xf numFmtId="0" fontId="10" fillId="0" borderId="0" xfId="0" applyFont="1" applyBorder="1" applyAlignment="1">
      <alignment horizontal="right" vertical="center"/>
    </xf>
    <xf numFmtId="0" fontId="30" fillId="0" borderId="0" xfId="0" applyFont="1" applyAlignment="1">
      <alignment horizontal="left" vertical="center"/>
    </xf>
    <xf numFmtId="0" fontId="29" fillId="0" borderId="0" xfId="0" applyFont="1" applyBorder="1" applyAlignment="1">
      <alignment horizontal="left" vertical="center"/>
    </xf>
    <xf numFmtId="0" fontId="31" fillId="33" borderId="0" xfId="0" applyFont="1" applyFill="1" applyAlignment="1">
      <alignment horizontal="right" vertical="center"/>
    </xf>
    <xf numFmtId="0" fontId="31" fillId="33" borderId="0" xfId="0" applyFont="1" applyFill="1" applyBorder="1" applyAlignment="1">
      <alignment horizontal="left" vertical="center"/>
    </xf>
    <xf numFmtId="168" fontId="10" fillId="0" borderId="0" xfId="0" applyNumberFormat="1" applyFont="1" applyBorder="1" applyAlignment="1">
      <alignment horizontal="left" vertical="center"/>
    </xf>
    <xf numFmtId="0" fontId="31" fillId="33" borderId="0" xfId="0" applyFont="1" applyFill="1" applyAlignment="1">
      <alignment horizontal="left" vertical="center"/>
    </xf>
    <xf numFmtId="166" fontId="10" fillId="0" borderId="0" xfId="0" applyNumberFormat="1" applyFont="1" applyBorder="1" applyAlignment="1">
      <alignment horizontal="left" vertical="center"/>
    </xf>
    <xf numFmtId="167" fontId="10" fillId="0" borderId="0" xfId="0" applyNumberFormat="1" applyFont="1" applyBorder="1" applyAlignment="1">
      <alignment horizontal="left" vertical="center"/>
    </xf>
    <xf numFmtId="1" fontId="10" fillId="0" borderId="0" xfId="0" applyNumberFormat="1" applyFont="1" applyBorder="1" applyAlignment="1">
      <alignment horizontal="left" vertical="center"/>
    </xf>
    <xf numFmtId="0" fontId="32" fillId="0" borderId="0" xfId="0" applyFont="1" applyAlignment="1">
      <alignment horizontal="left" vertical="center" indent="3"/>
    </xf>
    <xf numFmtId="0" fontId="32" fillId="0" borderId="0" xfId="0" applyFont="1" applyAlignment="1">
      <alignment horizontal="left" vertical="center" indent="5"/>
    </xf>
    <xf numFmtId="0" fontId="0" fillId="0" borderId="0" xfId="0" applyAlignment="1">
      <alignment horizontal="left" indent="3"/>
    </xf>
    <xf numFmtId="0" fontId="0" fillId="0" borderId="0" xfId="0" applyAlignment="1">
      <alignment horizontal="center"/>
    </xf>
    <xf numFmtId="0" fontId="34" fillId="39" borderId="69" xfId="0" applyFont="1" applyFill="1" applyBorder="1" applyAlignment="1">
      <alignment horizontal="center" wrapText="1"/>
    </xf>
    <xf numFmtId="2" fontId="35" fillId="0" borderId="0" xfId="0" applyNumberFormat="1" applyFont="1" applyBorder="1" applyAlignment="1">
      <alignment horizontal="center" textRotation="90" wrapText="1"/>
    </xf>
    <xf numFmtId="0" fontId="36" fillId="39" borderId="70" xfId="0" applyFont="1" applyFill="1" applyBorder="1" applyAlignment="1">
      <alignment horizontal="center" wrapText="1"/>
    </xf>
    <xf numFmtId="0" fontId="36" fillId="39" borderId="71" xfId="0" applyFont="1" applyFill="1" applyBorder="1" applyAlignment="1">
      <alignment horizontal="center" wrapText="1"/>
    </xf>
    <xf numFmtId="0" fontId="36" fillId="39" borderId="72" xfId="0" applyFont="1" applyFill="1" applyBorder="1" applyAlignment="1">
      <alignment horizontal="center" wrapText="1"/>
    </xf>
    <xf numFmtId="0" fontId="36" fillId="39" borderId="24" xfId="0" applyFont="1" applyFill="1" applyBorder="1" applyAlignment="1">
      <alignment horizontal="center" wrapText="1"/>
    </xf>
    <xf numFmtId="0" fontId="36" fillId="39" borderId="73" xfId="0" applyFont="1" applyFill="1" applyBorder="1" applyAlignment="1">
      <alignment horizontal="center" wrapText="1"/>
    </xf>
    <xf numFmtId="0" fontId="34" fillId="39" borderId="25" xfId="0" applyFont="1" applyFill="1" applyBorder="1" applyAlignment="1">
      <alignment horizontal="center" wrapText="1"/>
    </xf>
    <xf numFmtId="0" fontId="14" fillId="0" borderId="0" xfId="0" applyFont="1" applyBorder="1" applyAlignment="1">
      <alignment vertical="top" wrapText="1"/>
    </xf>
    <xf numFmtId="2" fontId="35" fillId="34" borderId="74" xfId="0" applyNumberFormat="1" applyFont="1" applyFill="1" applyBorder="1" applyAlignment="1">
      <alignment horizontal="center" textRotation="90" wrapText="1"/>
    </xf>
    <xf numFmtId="2" fontId="35" fillId="0" borderId="75" xfId="0" applyNumberFormat="1" applyFont="1" applyBorder="1" applyAlignment="1">
      <alignment horizontal="center" textRotation="90" wrapText="1"/>
    </xf>
    <xf numFmtId="2" fontId="35" fillId="0" borderId="76" xfId="0" applyNumberFormat="1" applyFont="1" applyBorder="1" applyAlignment="1">
      <alignment horizontal="right" wrapText="1" indent="1"/>
    </xf>
    <xf numFmtId="2" fontId="35" fillId="0" borderId="77" xfId="0" applyNumberFormat="1" applyFont="1" applyBorder="1" applyAlignment="1">
      <alignment horizontal="right" wrapText="1" indent="1"/>
    </xf>
    <xf numFmtId="167" fontId="35" fillId="0" borderId="78" xfId="0" applyNumberFormat="1" applyFont="1" applyBorder="1" applyAlignment="1">
      <alignment horizontal="right" wrapText="1" indent="1"/>
    </xf>
    <xf numFmtId="166" fontId="35" fillId="0" borderId="78" xfId="0" applyNumberFormat="1" applyFont="1" applyBorder="1" applyAlignment="1">
      <alignment horizontal="right" wrapText="1" indent="1"/>
    </xf>
    <xf numFmtId="166" fontId="35" fillId="0" borderId="77" xfId="0" applyNumberFormat="1" applyFont="1" applyBorder="1" applyAlignment="1">
      <alignment horizontal="center" wrapText="1"/>
    </xf>
    <xf numFmtId="2" fontId="35" fillId="0" borderId="79" xfId="0" applyNumberFormat="1" applyFont="1" applyBorder="1" applyAlignment="1">
      <alignment horizontal="center" wrapText="1"/>
    </xf>
    <xf numFmtId="0" fontId="14" fillId="0" borderId="80" xfId="0" applyFont="1" applyBorder="1" applyAlignment="1">
      <alignment vertical="top" wrapText="1"/>
    </xf>
    <xf numFmtId="2" fontId="35" fillId="0" borderId="81" xfId="0" applyNumberFormat="1" applyFont="1" applyBorder="1" applyAlignment="1">
      <alignment horizontal="center" textRotation="90" wrapText="1"/>
    </xf>
    <xf numFmtId="2" fontId="35" fillId="0" borderId="82" xfId="0" applyNumberFormat="1" applyFont="1" applyBorder="1" applyAlignment="1">
      <alignment horizontal="center" textRotation="90" wrapText="1"/>
    </xf>
    <xf numFmtId="2" fontId="35" fillId="0" borderId="15" xfId="0" applyNumberFormat="1" applyFont="1" applyBorder="1" applyAlignment="1">
      <alignment horizontal="center" textRotation="90" wrapText="1"/>
    </xf>
    <xf numFmtId="0" fontId="38" fillId="0" borderId="83" xfId="0" applyFont="1" applyBorder="1" applyAlignment="1">
      <alignment horizontal="center"/>
    </xf>
    <xf numFmtId="2" fontId="35" fillId="0" borderId="75" xfId="0" applyNumberFormat="1" applyFont="1" applyBorder="1" applyAlignment="1">
      <alignment horizontal="right" wrapText="1" indent="1"/>
    </xf>
    <xf numFmtId="2" fontId="35" fillId="0" borderId="81" xfId="0" applyNumberFormat="1" applyFont="1" applyBorder="1" applyAlignment="1">
      <alignment horizontal="right" wrapText="1" indent="1"/>
    </xf>
    <xf numFmtId="167" fontId="35" fillId="0" borderId="82" xfId="0" applyNumberFormat="1" applyFont="1" applyBorder="1" applyAlignment="1">
      <alignment horizontal="right" wrapText="1" indent="1"/>
    </xf>
    <xf numFmtId="166" fontId="35" fillId="0" borderId="82" xfId="0" applyNumberFormat="1" applyFont="1" applyBorder="1" applyAlignment="1">
      <alignment horizontal="center" wrapText="1"/>
    </xf>
    <xf numFmtId="166" fontId="35" fillId="0" borderId="81" xfId="0" applyNumberFormat="1" applyFont="1" applyBorder="1" applyAlignment="1">
      <alignment horizontal="center" wrapText="1"/>
    </xf>
    <xf numFmtId="2" fontId="35" fillId="0" borderId="84" xfId="0" applyNumberFormat="1" applyFont="1" applyBorder="1" applyAlignment="1">
      <alignment horizontal="center" wrapText="1"/>
    </xf>
    <xf numFmtId="0" fontId="38" fillId="0" borderId="85" xfId="0" applyFont="1" applyBorder="1" applyAlignment="1">
      <alignment horizontal="center"/>
    </xf>
    <xf numFmtId="0" fontId="0" fillId="0" borderId="80" xfId="0" applyBorder="1" applyAlignment="1">
      <alignment vertical="top" wrapText="1"/>
    </xf>
    <xf numFmtId="0" fontId="0" fillId="0" borderId="83" xfId="0" applyBorder="1" applyAlignment="1">
      <alignment/>
    </xf>
    <xf numFmtId="0" fontId="0" fillId="0" borderId="0" xfId="0" applyBorder="1" applyAlignment="1">
      <alignment vertical="top" wrapText="1"/>
    </xf>
    <xf numFmtId="0" fontId="35" fillId="0" borderId="86" xfId="0" applyFont="1" applyBorder="1" applyAlignment="1">
      <alignment horizontal="center" wrapText="1"/>
    </xf>
    <xf numFmtId="0" fontId="35" fillId="34" borderId="74" xfId="0" applyFont="1" applyFill="1" applyBorder="1" applyAlignment="1">
      <alignment horizontal="center" wrapText="1"/>
    </xf>
    <xf numFmtId="166" fontId="40" fillId="37" borderId="74" xfId="0" applyNumberFormat="1" applyFont="1" applyFill="1" applyBorder="1" applyAlignment="1">
      <alignment horizontal="center" wrapText="1"/>
    </xf>
    <xf numFmtId="0" fontId="36" fillId="37" borderId="86" xfId="0" applyFont="1" applyFill="1" applyBorder="1" applyAlignment="1">
      <alignment horizontal="center" wrapText="1"/>
    </xf>
    <xf numFmtId="2" fontId="42" fillId="37" borderId="75" xfId="0" applyNumberFormat="1" applyFont="1" applyFill="1" applyBorder="1" applyAlignment="1">
      <alignment horizontal="right" wrapText="1" indent="1"/>
    </xf>
    <xf numFmtId="2" fontId="36" fillId="37" borderId="81" xfId="0" applyNumberFormat="1" applyFont="1" applyFill="1" applyBorder="1" applyAlignment="1">
      <alignment horizontal="right" wrapText="1" indent="1"/>
    </xf>
    <xf numFmtId="2" fontId="36" fillId="37" borderId="75" xfId="0" applyNumberFormat="1" applyFont="1" applyFill="1" applyBorder="1" applyAlignment="1">
      <alignment horizontal="right" wrapText="1" indent="1"/>
    </xf>
    <xf numFmtId="167" fontId="36" fillId="37" borderId="82" xfId="0" applyNumberFormat="1" applyFont="1" applyFill="1" applyBorder="1" applyAlignment="1">
      <alignment horizontal="right" wrapText="1" indent="1"/>
    </xf>
    <xf numFmtId="166" fontId="36" fillId="37" borderId="82" xfId="0" applyNumberFormat="1" applyFont="1" applyFill="1" applyBorder="1" applyAlignment="1">
      <alignment horizontal="center" wrapText="1"/>
    </xf>
    <xf numFmtId="166" fontId="40" fillId="37" borderId="81" xfId="0" applyNumberFormat="1" applyFont="1" applyFill="1" applyBorder="1" applyAlignment="1">
      <alignment horizontal="center" wrapText="1"/>
    </xf>
    <xf numFmtId="2" fontId="40" fillId="37" borderId="15" xfId="0" applyNumberFormat="1" applyFont="1" applyFill="1" applyBorder="1" applyAlignment="1">
      <alignment horizontal="center" wrapText="1"/>
    </xf>
    <xf numFmtId="3" fontId="40" fillId="34" borderId="74" xfId="0" applyNumberFormat="1" applyFont="1" applyFill="1" applyBorder="1" applyAlignment="1">
      <alignment horizontal="center" wrapText="1"/>
    </xf>
    <xf numFmtId="3" fontId="36" fillId="0" borderId="87" xfId="0" applyNumberFormat="1" applyFont="1" applyBorder="1" applyAlignment="1">
      <alignment horizontal="center" wrapText="1"/>
    </xf>
    <xf numFmtId="4" fontId="36" fillId="0" borderId="81" xfId="0" applyNumberFormat="1" applyFont="1" applyBorder="1" applyAlignment="1">
      <alignment horizontal="right" wrapText="1" indent="1"/>
    </xf>
    <xf numFmtId="2" fontId="36" fillId="0" borderId="75" xfId="0" applyNumberFormat="1" applyFont="1" applyBorder="1" applyAlignment="1">
      <alignment horizontal="right" wrapText="1" indent="1"/>
    </xf>
    <xf numFmtId="167" fontId="36" fillId="0" borderId="82" xfId="0" applyNumberFormat="1" applyFont="1" applyBorder="1" applyAlignment="1">
      <alignment horizontal="right" wrapText="1" indent="1"/>
    </xf>
    <xf numFmtId="166" fontId="36" fillId="0" borderId="82" xfId="0" applyNumberFormat="1" applyFont="1" applyBorder="1" applyAlignment="1">
      <alignment horizontal="right" wrapText="1" indent="1"/>
    </xf>
    <xf numFmtId="175" fontId="36" fillId="0" borderId="81" xfId="0" applyNumberFormat="1" applyFont="1" applyBorder="1" applyAlignment="1">
      <alignment horizontal="right" wrapText="1" indent="1"/>
    </xf>
    <xf numFmtId="4" fontId="36" fillId="0" borderId="15" xfId="0" applyNumberFormat="1" applyFont="1" applyBorder="1" applyAlignment="1">
      <alignment horizontal="right" wrapText="1" indent="1"/>
    </xf>
    <xf numFmtId="4" fontId="36" fillId="0" borderId="0" xfId="0" applyNumberFormat="1" applyFont="1" applyBorder="1" applyAlignment="1">
      <alignment horizontal="right" wrapText="1" indent="1"/>
    </xf>
    <xf numFmtId="181" fontId="36" fillId="0" borderId="81" xfId="0" applyNumberFormat="1" applyFont="1" applyBorder="1" applyAlignment="1">
      <alignment horizontal="right" wrapText="1" indent="1"/>
    </xf>
    <xf numFmtId="0" fontId="9" fillId="0" borderId="0" xfId="0" applyFont="1" applyBorder="1" applyAlignment="1">
      <alignment vertical="center"/>
    </xf>
    <xf numFmtId="175" fontId="36" fillId="0" borderId="87" xfId="0" applyNumberFormat="1" applyFont="1" applyBorder="1" applyAlignment="1">
      <alignment horizontal="right" wrapText="1" indent="1"/>
    </xf>
    <xf numFmtId="175" fontId="36" fillId="0" borderId="15" xfId="0" applyNumberFormat="1" applyFont="1" applyBorder="1" applyAlignment="1">
      <alignment horizontal="right" wrapText="1" indent="1"/>
    </xf>
    <xf numFmtId="175" fontId="36" fillId="0" borderId="0" xfId="0" applyNumberFormat="1" applyFont="1" applyBorder="1" applyAlignment="1">
      <alignment horizontal="right" wrapText="1" indent="1"/>
    </xf>
    <xf numFmtId="181" fontId="36" fillId="0" borderId="0" xfId="0" applyNumberFormat="1" applyFont="1" applyBorder="1" applyAlignment="1">
      <alignment horizontal="right" wrapText="1" indent="1"/>
    </xf>
    <xf numFmtId="181" fontId="32" fillId="0" borderId="15" xfId="0" applyNumberFormat="1" applyFont="1" applyBorder="1" applyAlignment="1">
      <alignment horizontal="right" wrapText="1" indent="1"/>
    </xf>
    <xf numFmtId="181" fontId="32" fillId="0" borderId="0" xfId="0" applyNumberFormat="1" applyFont="1" applyBorder="1" applyAlignment="1">
      <alignment horizontal="right" wrapText="1" indent="1"/>
    </xf>
    <xf numFmtId="0" fontId="16" fillId="0" borderId="88" xfId="53" applyNumberFormat="1" applyFill="1" applyBorder="1" applyAlignment="1" applyProtection="1">
      <alignment horizontal="left" indent="2"/>
      <protection/>
    </xf>
    <xf numFmtId="15" fontId="0" fillId="0" borderId="88" xfId="0" applyNumberFormat="1" applyBorder="1" applyAlignment="1">
      <alignment horizontal="left" indent="2"/>
    </xf>
    <xf numFmtId="4" fontId="0" fillId="0" borderId="0" xfId="0" applyNumberFormat="1" applyAlignment="1">
      <alignment horizontal="center"/>
    </xf>
    <xf numFmtId="4" fontId="36" fillId="0" borderId="87" xfId="0" applyNumberFormat="1" applyFont="1" applyBorder="1" applyAlignment="1">
      <alignment horizontal="right" wrapText="1" indent="1"/>
    </xf>
    <xf numFmtId="181" fontId="36" fillId="0" borderId="87" xfId="0" applyNumberFormat="1" applyFont="1" applyBorder="1" applyAlignment="1">
      <alignment horizontal="right" wrapText="1" indent="1"/>
    </xf>
    <xf numFmtId="3" fontId="40" fillId="34" borderId="89" xfId="0" applyNumberFormat="1" applyFont="1" applyFill="1" applyBorder="1" applyAlignment="1">
      <alignment horizontal="center" wrapText="1"/>
    </xf>
    <xf numFmtId="3" fontId="36" fillId="0" borderId="90" xfId="0" applyNumberFormat="1" applyFont="1" applyBorder="1" applyAlignment="1">
      <alignment horizontal="center" wrapText="1"/>
    </xf>
    <xf numFmtId="4" fontId="36" fillId="0" borderId="90" xfId="0" applyNumberFormat="1" applyFont="1" applyBorder="1" applyAlignment="1">
      <alignment horizontal="right" wrapText="1" indent="1"/>
    </xf>
    <xf numFmtId="175" fontId="36" fillId="0" borderId="90" xfId="0" applyNumberFormat="1" applyFont="1" applyBorder="1" applyAlignment="1">
      <alignment horizontal="right" wrapText="1" indent="1"/>
    </xf>
    <xf numFmtId="181" fontId="36" fillId="0" borderId="90" xfId="0" applyNumberFormat="1" applyFont="1" applyBorder="1" applyAlignment="1">
      <alignment horizontal="right" wrapText="1" indent="1"/>
    </xf>
    <xf numFmtId="181" fontId="32" fillId="0" borderId="91" xfId="0" applyNumberFormat="1" applyFont="1" applyBorder="1" applyAlignment="1">
      <alignment horizontal="right" wrapText="1" indent="1"/>
    </xf>
    <xf numFmtId="3" fontId="9" fillId="0" borderId="0" xfId="0" applyNumberFormat="1" applyFont="1" applyAlignment="1">
      <alignment vertical="center"/>
    </xf>
    <xf numFmtId="0" fontId="9" fillId="0" borderId="0" xfId="0" applyFont="1" applyAlignment="1">
      <alignment vertical="center"/>
    </xf>
    <xf numFmtId="3" fontId="9" fillId="0" borderId="0" xfId="0" applyNumberFormat="1" applyFont="1" applyAlignment="1">
      <alignment horizontal="left" vertical="center" indent="2"/>
    </xf>
    <xf numFmtId="0" fontId="0" fillId="0" borderId="88" xfId="0" applyBorder="1" applyAlignment="1">
      <alignment/>
    </xf>
    <xf numFmtId="0" fontId="2" fillId="0" borderId="12" xfId="0" applyFont="1" applyBorder="1" applyAlignment="1">
      <alignment/>
    </xf>
    <xf numFmtId="0" fontId="0" fillId="0" borderId="92" xfId="0" applyBorder="1" applyAlignment="1">
      <alignment/>
    </xf>
    <xf numFmtId="0" fontId="0" fillId="0" borderId="93" xfId="0" applyBorder="1" applyAlignment="1">
      <alignment/>
    </xf>
    <xf numFmtId="0" fontId="32" fillId="39" borderId="25" xfId="0" applyFont="1" applyFill="1" applyBorder="1" applyAlignment="1">
      <alignment horizontal="center" wrapText="1"/>
    </xf>
    <xf numFmtId="0" fontId="0" fillId="0" borderId="94" xfId="0" applyBorder="1" applyAlignment="1">
      <alignment/>
    </xf>
    <xf numFmtId="0" fontId="32" fillId="39" borderId="27" xfId="0" applyFont="1" applyFill="1" applyBorder="1" applyAlignment="1">
      <alignment horizontal="center" wrapText="1"/>
    </xf>
    <xf numFmtId="0" fontId="32" fillId="39" borderId="95" xfId="0" applyFont="1" applyFill="1" applyBorder="1" applyAlignment="1">
      <alignment wrapText="1"/>
    </xf>
    <xf numFmtId="0" fontId="32" fillId="39" borderId="96" xfId="0" applyFont="1" applyFill="1" applyBorder="1" applyAlignment="1">
      <alignment wrapText="1"/>
    </xf>
    <xf numFmtId="0" fontId="32" fillId="39" borderId="97" xfId="0" applyFont="1" applyFill="1" applyBorder="1" applyAlignment="1">
      <alignment horizontal="center" wrapText="1"/>
    </xf>
    <xf numFmtId="0" fontId="0" fillId="0" borderId="98" xfId="0" applyBorder="1" applyAlignment="1">
      <alignment/>
    </xf>
    <xf numFmtId="0" fontId="0" fillId="0" borderId="99" xfId="0" applyBorder="1" applyAlignment="1">
      <alignment/>
    </xf>
    <xf numFmtId="0" fontId="32" fillId="39" borderId="100" xfId="0" applyFont="1" applyFill="1" applyBorder="1" applyAlignment="1">
      <alignment horizontal="center" wrapText="1"/>
    </xf>
    <xf numFmtId="0" fontId="32" fillId="39" borderId="101" xfId="0" applyFont="1" applyFill="1" applyBorder="1" applyAlignment="1">
      <alignment horizontal="center" wrapText="1"/>
    </xf>
    <xf numFmtId="0" fontId="36" fillId="39" borderId="34" xfId="0" applyFont="1" applyFill="1" applyBorder="1" applyAlignment="1">
      <alignment horizontal="center" wrapText="1"/>
    </xf>
    <xf numFmtId="0" fontId="36" fillId="39" borderId="29" xfId="0" applyFont="1" applyFill="1" applyBorder="1" applyAlignment="1">
      <alignment horizontal="center" wrapText="1"/>
    </xf>
    <xf numFmtId="0" fontId="36" fillId="39" borderId="102" xfId="0" applyFont="1" applyFill="1" applyBorder="1" applyAlignment="1">
      <alignment horizontal="center" wrapText="1"/>
    </xf>
    <xf numFmtId="0" fontId="36" fillId="39" borderId="103" xfId="0" applyFont="1" applyFill="1" applyBorder="1" applyAlignment="1">
      <alignment horizontal="center" wrapText="1"/>
    </xf>
    <xf numFmtId="0" fontId="36" fillId="39" borderId="104" xfId="0" applyFont="1" applyFill="1" applyBorder="1" applyAlignment="1">
      <alignment horizontal="center" wrapText="1"/>
    </xf>
    <xf numFmtId="0" fontId="36" fillId="39" borderId="105" xfId="0" applyFont="1" applyFill="1" applyBorder="1" applyAlignment="1">
      <alignment horizontal="center" wrapText="1"/>
    </xf>
    <xf numFmtId="0" fontId="0" fillId="38" borderId="106" xfId="0" applyFill="1" applyBorder="1" applyAlignment="1">
      <alignment/>
    </xf>
    <xf numFmtId="0" fontId="32" fillId="33" borderId="10" xfId="0" applyFont="1" applyFill="1" applyBorder="1" applyAlignment="1">
      <alignment horizontal="center" wrapText="1"/>
    </xf>
    <xf numFmtId="2" fontId="44" fillId="0" borderId="88" xfId="0" applyNumberFormat="1" applyFont="1" applyBorder="1" applyAlignment="1">
      <alignment/>
    </xf>
    <xf numFmtId="2" fontId="44" fillId="0" borderId="99" xfId="0" applyNumberFormat="1" applyFont="1" applyBorder="1" applyAlignment="1">
      <alignment/>
    </xf>
    <xf numFmtId="2" fontId="9" fillId="0" borderId="99" xfId="0" applyNumberFormat="1" applyFont="1" applyBorder="1" applyAlignment="1">
      <alignment/>
    </xf>
    <xf numFmtId="173" fontId="9" fillId="0" borderId="99" xfId="42" applyNumberFormat="1" applyFont="1" applyFill="1" applyBorder="1" applyAlignment="1" applyProtection="1">
      <alignment/>
      <protection/>
    </xf>
    <xf numFmtId="173" fontId="9" fillId="0" borderId="107" xfId="42" applyNumberFormat="1" applyFont="1" applyFill="1" applyBorder="1" applyAlignment="1" applyProtection="1">
      <alignment/>
      <protection/>
    </xf>
    <xf numFmtId="0" fontId="36" fillId="33" borderId="10" xfId="0" applyFont="1" applyFill="1" applyBorder="1" applyAlignment="1">
      <alignment horizontal="center" wrapText="1"/>
    </xf>
    <xf numFmtId="2" fontId="9" fillId="0" borderId="88" xfId="0" applyNumberFormat="1" applyFont="1" applyBorder="1" applyAlignment="1">
      <alignment/>
    </xf>
    <xf numFmtId="2" fontId="36" fillId="0" borderId="82" xfId="0" applyNumberFormat="1" applyFont="1" applyBorder="1" applyAlignment="1">
      <alignment horizontal="right" wrapText="1" indent="1"/>
    </xf>
    <xf numFmtId="4" fontId="46" fillId="33" borderId="10" xfId="0" applyNumberFormat="1" applyFont="1" applyFill="1" applyBorder="1" applyAlignment="1">
      <alignment horizontal="center" vertical="center"/>
    </xf>
    <xf numFmtId="173" fontId="9" fillId="0" borderId="88" xfId="42" applyNumberFormat="1" applyFont="1" applyFill="1" applyBorder="1" applyAlignment="1" applyProtection="1">
      <alignment/>
      <protection/>
    </xf>
    <xf numFmtId="173" fontId="9" fillId="0" borderId="108" xfId="42" applyNumberFormat="1" applyFont="1" applyFill="1" applyBorder="1" applyAlignment="1" applyProtection="1">
      <alignment/>
      <protection/>
    </xf>
    <xf numFmtId="4" fontId="46" fillId="0" borderId="10" xfId="0" applyNumberFormat="1" applyFont="1" applyBorder="1" applyAlignment="1">
      <alignment horizontal="center" vertical="center"/>
    </xf>
    <xf numFmtId="0" fontId="0" fillId="0" borderId="109" xfId="0" applyBorder="1" applyAlignment="1">
      <alignment/>
    </xf>
    <xf numFmtId="0" fontId="0" fillId="0" borderId="98" xfId="0" applyFont="1" applyBorder="1" applyAlignment="1">
      <alignment/>
    </xf>
    <xf numFmtId="3" fontId="36" fillId="0" borderId="110" xfId="0" applyNumberFormat="1" applyFont="1" applyBorder="1" applyAlignment="1">
      <alignment horizontal="center" wrapText="1"/>
    </xf>
    <xf numFmtId="4" fontId="46" fillId="0" borderId="111" xfId="0" applyNumberFormat="1" applyFont="1" applyBorder="1" applyAlignment="1">
      <alignment horizontal="center" vertical="center"/>
    </xf>
    <xf numFmtId="0" fontId="0" fillId="0" borderId="112" xfId="0" applyBorder="1" applyAlignment="1">
      <alignment/>
    </xf>
    <xf numFmtId="2" fontId="44" fillId="0" borderId="88" xfId="0" applyNumberFormat="1" applyFont="1" applyBorder="1" applyAlignment="1">
      <alignment horizontal="left" vertical="top"/>
    </xf>
    <xf numFmtId="0" fontId="0" fillId="0" borderId="113" xfId="0" applyBorder="1" applyAlignment="1">
      <alignment/>
    </xf>
    <xf numFmtId="0" fontId="0" fillId="0" borderId="114" xfId="0" applyBorder="1" applyAlignment="1">
      <alignment/>
    </xf>
    <xf numFmtId="0" fontId="0" fillId="0" borderId="115" xfId="0" applyBorder="1" applyAlignment="1">
      <alignment/>
    </xf>
    <xf numFmtId="0" fontId="0" fillId="0" borderId="116" xfId="0" applyBorder="1" applyAlignment="1">
      <alignment/>
    </xf>
    <xf numFmtId="2" fontId="44" fillId="0" borderId="93" xfId="0" applyNumberFormat="1" applyFont="1" applyBorder="1" applyAlignment="1">
      <alignment/>
    </xf>
    <xf numFmtId="2" fontId="9" fillId="0" borderId="93" xfId="0" applyNumberFormat="1" applyFont="1" applyBorder="1" applyAlignment="1">
      <alignment/>
    </xf>
    <xf numFmtId="2" fontId="44" fillId="0" borderId="93" xfId="0" applyNumberFormat="1" applyFont="1" applyBorder="1" applyAlignment="1">
      <alignment horizontal="left" vertical="top"/>
    </xf>
    <xf numFmtId="0" fontId="0" fillId="0" borderId="85" xfId="0" applyBorder="1" applyAlignment="1">
      <alignment/>
    </xf>
    <xf numFmtId="2" fontId="44" fillId="0" borderId="117" xfId="0" applyNumberFormat="1" applyFont="1" applyBorder="1" applyAlignment="1">
      <alignment/>
    </xf>
    <xf numFmtId="2" fontId="9" fillId="0" borderId="117" xfId="0" applyNumberFormat="1" applyFont="1" applyBorder="1" applyAlignment="1">
      <alignment/>
    </xf>
    <xf numFmtId="173" fontId="0" fillId="0" borderId="88" xfId="42" applyNumberFormat="1" applyFont="1" applyFill="1" applyBorder="1" applyAlignment="1" applyProtection="1">
      <alignment/>
      <protection/>
    </xf>
    <xf numFmtId="4" fontId="46" fillId="0" borderId="62" xfId="0" applyNumberFormat="1" applyFont="1" applyBorder="1" applyAlignment="1">
      <alignment horizontal="center" vertical="center"/>
    </xf>
    <xf numFmtId="0" fontId="0" fillId="0" borderId="118" xfId="0" applyBorder="1" applyAlignment="1">
      <alignment/>
    </xf>
    <xf numFmtId="0" fontId="0" fillId="38" borderId="119" xfId="0" applyFill="1" applyBorder="1" applyAlignment="1">
      <alignment/>
    </xf>
    <xf numFmtId="0" fontId="0" fillId="0" borderId="120" xfId="0" applyBorder="1" applyAlignment="1">
      <alignment/>
    </xf>
    <xf numFmtId="0" fontId="9" fillId="0" borderId="64" xfId="0" applyFont="1" applyBorder="1" applyAlignment="1">
      <alignment vertical="center" wrapText="1"/>
    </xf>
    <xf numFmtId="0" fontId="9" fillId="0" borderId="62" xfId="0" applyFont="1" applyBorder="1" applyAlignment="1">
      <alignment vertical="center" wrapText="1"/>
    </xf>
    <xf numFmtId="0" fontId="9" fillId="0" borderId="0" xfId="0" applyFont="1" applyBorder="1" applyAlignment="1">
      <alignment vertical="center" wrapText="1"/>
    </xf>
    <xf numFmtId="0" fontId="0" fillId="0" borderId="65" xfId="0" applyBorder="1" applyAlignment="1">
      <alignment/>
    </xf>
    <xf numFmtId="0" fontId="0" fillId="0" borderId="58" xfId="0" applyBorder="1" applyAlignment="1">
      <alignment/>
    </xf>
    <xf numFmtId="0" fontId="10" fillId="0" borderId="0" xfId="0" applyFont="1" applyBorder="1" applyAlignment="1">
      <alignment vertical="center" wrapText="1"/>
    </xf>
    <xf numFmtId="0" fontId="50" fillId="39" borderId="121" xfId="0" applyFont="1" applyFill="1" applyBorder="1" applyAlignment="1">
      <alignment horizontal="center" wrapText="1"/>
    </xf>
    <xf numFmtId="0" fontId="50" fillId="39" borderId="34" xfId="0" applyFont="1" applyFill="1" applyBorder="1" applyAlignment="1">
      <alignment horizontal="center" wrapText="1"/>
    </xf>
    <xf numFmtId="0" fontId="32" fillId="39" borderId="72" xfId="0" applyFont="1" applyFill="1" applyBorder="1" applyAlignment="1">
      <alignment horizontal="center" wrapText="1"/>
    </xf>
    <xf numFmtId="0" fontId="32" fillId="39" borderId="70" xfId="0" applyFont="1" applyFill="1" applyBorder="1" applyAlignment="1">
      <alignment horizontal="center" wrapText="1"/>
    </xf>
    <xf numFmtId="0" fontId="32" fillId="39" borderId="24" xfId="0" applyFont="1" applyFill="1" applyBorder="1" applyAlignment="1">
      <alignment horizontal="center" wrapText="1"/>
    </xf>
    <xf numFmtId="0" fontId="32" fillId="39" borderId="122" xfId="0" applyFont="1" applyFill="1" applyBorder="1" applyAlignment="1">
      <alignment horizontal="center" wrapText="1"/>
    </xf>
    <xf numFmtId="0" fontId="32" fillId="39" borderId="73" xfId="0" applyFont="1" applyFill="1" applyBorder="1" applyAlignment="1">
      <alignment horizontal="center" wrapText="1"/>
    </xf>
    <xf numFmtId="0" fontId="51" fillId="0" borderId="123" xfId="0" applyNumberFormat="1" applyFont="1" applyBorder="1" applyAlignment="1">
      <alignment horizontal="center" vertical="center"/>
    </xf>
    <xf numFmtId="3" fontId="52" fillId="0" borderId="78" xfId="0" applyNumberFormat="1" applyFont="1" applyBorder="1" applyAlignment="1">
      <alignment horizontal="center" vertical="center"/>
    </xf>
    <xf numFmtId="175" fontId="30" fillId="34" borderId="124" xfId="0" applyNumberFormat="1" applyFont="1" applyFill="1" applyBorder="1" applyAlignment="1">
      <alignment horizontal="right" vertical="center" wrapText="1"/>
    </xf>
    <xf numFmtId="181" fontId="30" fillId="0" borderId="110" xfId="0" applyNumberFormat="1" applyFont="1" applyBorder="1" applyAlignment="1">
      <alignment horizontal="right" vertical="center" wrapText="1"/>
    </xf>
    <xf numFmtId="3" fontId="30" fillId="0" borderId="110" xfId="0" applyNumberFormat="1" applyFont="1" applyBorder="1" applyAlignment="1">
      <alignment horizontal="right" vertical="center" wrapText="1" indent="1"/>
    </xf>
    <xf numFmtId="2" fontId="36" fillId="0" borderId="76" xfId="0" applyNumberFormat="1" applyFont="1" applyBorder="1" applyAlignment="1">
      <alignment horizontal="right" wrapText="1" indent="1"/>
    </xf>
    <xf numFmtId="166" fontId="54" fillId="34" borderId="77" xfId="0" applyNumberFormat="1" applyFont="1" applyFill="1" applyBorder="1" applyAlignment="1">
      <alignment horizontal="right" wrapText="1"/>
    </xf>
    <xf numFmtId="2" fontId="55" fillId="34" borderId="82" xfId="0" applyNumberFormat="1" applyFont="1" applyFill="1" applyBorder="1" applyAlignment="1">
      <alignment horizontal="right" wrapText="1" indent="1"/>
    </xf>
    <xf numFmtId="167" fontId="55" fillId="34" borderId="125" xfId="0" applyNumberFormat="1" applyFont="1" applyFill="1" applyBorder="1" applyAlignment="1">
      <alignment horizontal="right" wrapText="1" indent="1"/>
    </xf>
    <xf numFmtId="166" fontId="56" fillId="34" borderId="126" xfId="0" applyNumberFormat="1" applyFont="1" applyFill="1" applyBorder="1" applyAlignment="1">
      <alignment horizontal="center" wrapText="1"/>
    </xf>
    <xf numFmtId="166" fontId="55" fillId="34" borderId="127" xfId="0" applyNumberFormat="1" applyFont="1" applyFill="1" applyBorder="1" applyAlignment="1">
      <alignment horizontal="center" wrapText="1"/>
    </xf>
    <xf numFmtId="3" fontId="51" fillId="0" borderId="128" xfId="0" applyNumberFormat="1" applyFont="1" applyBorder="1" applyAlignment="1">
      <alignment horizontal="center" vertical="center"/>
    </xf>
    <xf numFmtId="3" fontId="51" fillId="0" borderId="123" xfId="0" applyNumberFormat="1" applyFont="1" applyBorder="1" applyAlignment="1">
      <alignment horizontal="center" vertical="center"/>
    </xf>
    <xf numFmtId="175" fontId="30" fillId="34" borderId="129" xfId="0" applyNumberFormat="1" applyFont="1" applyFill="1" applyBorder="1" applyAlignment="1">
      <alignment horizontal="right" vertical="center" wrapText="1"/>
    </xf>
    <xf numFmtId="167" fontId="55" fillId="34" borderId="126" xfId="0" applyNumberFormat="1" applyFont="1" applyFill="1" applyBorder="1" applyAlignment="1">
      <alignment horizontal="right" wrapText="1" indent="1"/>
    </xf>
    <xf numFmtId="175" fontId="30" fillId="34" borderId="130" xfId="0" applyNumberFormat="1" applyFont="1" applyFill="1" applyBorder="1" applyAlignment="1">
      <alignment horizontal="right" vertical="center" wrapText="1"/>
    </xf>
    <xf numFmtId="3" fontId="51" fillId="0" borderId="33" xfId="0" applyNumberFormat="1" applyFont="1" applyBorder="1" applyAlignment="1">
      <alignment horizontal="center" vertical="center"/>
    </xf>
    <xf numFmtId="175" fontId="30" fillId="34" borderId="131" xfId="0" applyNumberFormat="1" applyFont="1" applyFill="1" applyBorder="1" applyAlignment="1">
      <alignment horizontal="right" vertical="center" wrapText="1"/>
    </xf>
    <xf numFmtId="181" fontId="30" fillId="0" borderId="90" xfId="0" applyNumberFormat="1" applyFont="1" applyBorder="1" applyAlignment="1">
      <alignment horizontal="right" vertical="center" wrapText="1"/>
    </xf>
    <xf numFmtId="3" fontId="30" fillId="0" borderId="90" xfId="0" applyNumberFormat="1" applyFont="1" applyBorder="1" applyAlignment="1">
      <alignment horizontal="right" vertical="center" wrapText="1" indent="1"/>
    </xf>
    <xf numFmtId="2" fontId="36" fillId="0" borderId="132" xfId="0" applyNumberFormat="1" applyFont="1" applyBorder="1" applyAlignment="1">
      <alignment horizontal="right" wrapText="1" indent="1"/>
    </xf>
    <xf numFmtId="166" fontId="54" fillId="34" borderId="30" xfId="0" applyNumberFormat="1" applyFont="1" applyFill="1" applyBorder="1" applyAlignment="1">
      <alignment vertical="center" wrapText="1"/>
    </xf>
    <xf numFmtId="2" fontId="55" fillId="34" borderId="133" xfId="0" applyNumberFormat="1" applyFont="1" applyFill="1" applyBorder="1" applyAlignment="1">
      <alignment horizontal="right" wrapText="1" indent="1"/>
    </xf>
    <xf numFmtId="167" fontId="55" fillId="34" borderId="134" xfId="0" applyNumberFormat="1" applyFont="1" applyFill="1" applyBorder="1" applyAlignment="1">
      <alignment horizontal="right" wrapText="1" indent="1"/>
    </xf>
    <xf numFmtId="166" fontId="56" fillId="34" borderId="134" xfId="0" applyNumberFormat="1" applyFont="1" applyFill="1" applyBorder="1" applyAlignment="1">
      <alignment horizontal="center" wrapText="1"/>
    </xf>
    <xf numFmtId="166" fontId="55" fillId="34" borderId="135" xfId="0" applyNumberFormat="1" applyFont="1" applyFill="1" applyBorder="1" applyAlignment="1">
      <alignment horizontal="center" wrapText="1"/>
    </xf>
    <xf numFmtId="0" fontId="0" fillId="0" borderId="136" xfId="0" applyBorder="1" applyAlignment="1">
      <alignment/>
    </xf>
    <xf numFmtId="3" fontId="51" fillId="0" borderId="137" xfId="0" applyNumberFormat="1" applyFont="1" applyBorder="1" applyAlignment="1">
      <alignment vertical="center"/>
    </xf>
    <xf numFmtId="3" fontId="28" fillId="0" borderId="77" xfId="0" applyNumberFormat="1" applyFont="1" applyBorder="1" applyAlignment="1">
      <alignment horizontal="right" vertical="center" indent="2"/>
    </xf>
    <xf numFmtId="3" fontId="52" fillId="0" borderId="79" xfId="0" applyNumberFormat="1" applyFont="1" applyBorder="1" applyAlignment="1">
      <alignment horizontal="center" vertical="center"/>
    </xf>
    <xf numFmtId="3" fontId="30" fillId="34" borderId="137" xfId="0" applyNumberFormat="1" applyFont="1" applyFill="1" applyBorder="1" applyAlignment="1">
      <alignment horizontal="right" vertical="center" wrapText="1"/>
    </xf>
    <xf numFmtId="166" fontId="55" fillId="34" borderId="126" xfId="0" applyNumberFormat="1" applyFont="1" applyFill="1" applyBorder="1" applyAlignment="1">
      <alignment horizontal="center" wrapText="1"/>
    </xf>
    <xf numFmtId="166" fontId="55" fillId="34" borderId="125" xfId="0" applyNumberFormat="1" applyFont="1" applyFill="1" applyBorder="1" applyAlignment="1">
      <alignment horizontal="center" wrapText="1"/>
    </xf>
    <xf numFmtId="3" fontId="51" fillId="0" borderId="77" xfId="0" applyNumberFormat="1" applyFont="1" applyBorder="1" applyAlignment="1">
      <alignment horizontal="right" vertical="center" indent="1"/>
    </xf>
    <xf numFmtId="3" fontId="52" fillId="0" borderId="15" xfId="0" applyNumberFormat="1" applyFont="1" applyBorder="1" applyAlignment="1">
      <alignment horizontal="center" vertical="center"/>
    </xf>
    <xf numFmtId="3" fontId="30" fillId="34" borderId="74" xfId="0" applyNumberFormat="1" applyFont="1" applyFill="1" applyBorder="1" applyAlignment="1">
      <alignment horizontal="right" vertical="center" wrapText="1"/>
    </xf>
    <xf numFmtId="3" fontId="30" fillId="34" borderId="129" xfId="0" applyNumberFormat="1" applyFont="1" applyFill="1" applyBorder="1" applyAlignment="1">
      <alignment horizontal="right" vertical="center" wrapText="1"/>
    </xf>
    <xf numFmtId="3" fontId="51" fillId="0" borderId="131" xfId="0" applyNumberFormat="1" applyFont="1" applyBorder="1" applyAlignment="1">
      <alignment vertical="center"/>
    </xf>
    <xf numFmtId="3" fontId="51" fillId="0" borderId="30" xfId="0" applyNumberFormat="1" applyFont="1" applyBorder="1" applyAlignment="1">
      <alignment horizontal="right" vertical="center" indent="1"/>
    </xf>
    <xf numFmtId="3" fontId="52" fillId="0" borderId="13" xfId="0" applyNumberFormat="1" applyFont="1" applyBorder="1" applyAlignment="1">
      <alignment horizontal="center" vertical="center"/>
    </xf>
    <xf numFmtId="3" fontId="30" fillId="34" borderId="89" xfId="0" applyNumberFormat="1" applyFont="1" applyFill="1" applyBorder="1" applyAlignment="1">
      <alignment horizontal="right" vertical="center" wrapText="1"/>
    </xf>
    <xf numFmtId="166" fontId="55" fillId="34" borderId="134" xfId="0" applyNumberFormat="1" applyFont="1" applyFill="1" applyBorder="1" applyAlignment="1">
      <alignment horizontal="center" wrapText="1"/>
    </xf>
    <xf numFmtId="0" fontId="5" fillId="0" borderId="0" xfId="0" applyFont="1" applyAlignment="1">
      <alignment horizontal="center"/>
    </xf>
    <xf numFmtId="0" fontId="22" fillId="0" borderId="0" xfId="0" applyFont="1" applyAlignment="1">
      <alignment horizontal="center" vertical="center"/>
    </xf>
    <xf numFmtId="10" fontId="10" fillId="0" borderId="138" xfId="59" applyNumberFormat="1" applyFont="1" applyFill="1" applyBorder="1" applyAlignment="1" applyProtection="1">
      <alignment horizontal="center" vertical="center"/>
      <protection/>
    </xf>
    <xf numFmtId="0" fontId="10" fillId="0" borderId="0" xfId="0" applyFont="1" applyAlignment="1">
      <alignment vertical="center"/>
    </xf>
    <xf numFmtId="170" fontId="31" fillId="0" borderId="48" xfId="0" applyNumberFormat="1" applyFont="1" applyBorder="1" applyAlignment="1">
      <alignment vertical="center"/>
    </xf>
    <xf numFmtId="2" fontId="5" fillId="0" borderId="0" xfId="0" applyNumberFormat="1" applyFont="1" applyAlignment="1">
      <alignment horizontal="center"/>
    </xf>
    <xf numFmtId="0" fontId="22" fillId="0" borderId="0" xfId="0" applyFont="1" applyAlignment="1">
      <alignment vertical="center"/>
    </xf>
    <xf numFmtId="0" fontId="22" fillId="0" borderId="0" xfId="0" applyFont="1" applyAlignment="1">
      <alignment horizontal="right" vertical="center"/>
    </xf>
    <xf numFmtId="0" fontId="0" fillId="0" borderId="0" xfId="0" applyAlignment="1">
      <alignment vertical="center"/>
    </xf>
    <xf numFmtId="0" fontId="0" fillId="0" borderId="0" xfId="0" applyAlignment="1">
      <alignment horizontal="left"/>
    </xf>
    <xf numFmtId="170" fontId="31" fillId="0" borderId="77" xfId="0" applyNumberFormat="1" applyFont="1" applyBorder="1" applyAlignment="1">
      <alignment vertical="center"/>
    </xf>
    <xf numFmtId="0" fontId="0" fillId="0" borderId="139" xfId="0" applyBorder="1" applyAlignment="1">
      <alignment/>
    </xf>
    <xf numFmtId="173" fontId="0" fillId="0" borderId="0" xfId="0" applyNumberFormat="1" applyAlignment="1">
      <alignment/>
    </xf>
    <xf numFmtId="1" fontId="0" fillId="0" borderId="0" xfId="0" applyNumberFormat="1" applyAlignment="1">
      <alignment/>
    </xf>
    <xf numFmtId="183" fontId="0" fillId="0" borderId="0" xfId="0" applyNumberFormat="1" applyAlignment="1">
      <alignment/>
    </xf>
    <xf numFmtId="170" fontId="0" fillId="0" borderId="0" xfId="0" applyNumberFormat="1" applyAlignment="1">
      <alignment/>
    </xf>
    <xf numFmtId="2" fontId="59" fillId="0" borderId="0" xfId="0" applyNumberFormat="1" applyFont="1" applyAlignment="1">
      <alignment horizontal="center"/>
    </xf>
    <xf numFmtId="173" fontId="0" fillId="0" borderId="0" xfId="42" applyNumberFormat="1" applyFont="1" applyFill="1" applyBorder="1" applyAlignment="1" applyProtection="1">
      <alignment/>
      <protection/>
    </xf>
    <xf numFmtId="0" fontId="29" fillId="0" borderId="0" xfId="0" applyFont="1" applyAlignment="1">
      <alignment/>
    </xf>
    <xf numFmtId="0" fontId="32" fillId="0" borderId="0" xfId="0" applyFont="1" applyAlignment="1">
      <alignment/>
    </xf>
    <xf numFmtId="164" fontId="39" fillId="0" borderId="0" xfId="0" applyNumberFormat="1" applyFont="1" applyAlignment="1">
      <alignment horizontal="right"/>
    </xf>
    <xf numFmtId="168" fontId="39" fillId="0" borderId="0" xfId="0" applyNumberFormat="1" applyFont="1" applyAlignment="1">
      <alignment horizontal="right"/>
    </xf>
    <xf numFmtId="2" fontId="0" fillId="0" borderId="0" xfId="0" applyNumberFormat="1" applyAlignment="1">
      <alignment/>
    </xf>
    <xf numFmtId="173" fontId="5" fillId="0" borderId="0" xfId="42" applyNumberFormat="1" applyFont="1" applyFill="1" applyBorder="1" applyAlignment="1" applyProtection="1">
      <alignment/>
      <protection/>
    </xf>
    <xf numFmtId="2" fontId="60" fillId="0" borderId="0" xfId="0" applyNumberFormat="1" applyFont="1" applyAlignment="1">
      <alignment horizontal="right" vertical="center"/>
    </xf>
    <xf numFmtId="0" fontId="5" fillId="0" borderId="0" xfId="0" applyFont="1" applyAlignment="1">
      <alignment horizontal="left"/>
    </xf>
    <xf numFmtId="0" fontId="10" fillId="0" borderId="0" xfId="0" applyFont="1" applyAlignment="1">
      <alignment/>
    </xf>
    <xf numFmtId="0" fontId="62" fillId="0" borderId="11" xfId="0" applyFont="1" applyBorder="1" applyAlignment="1">
      <alignment horizontal="center" vertical="center"/>
    </xf>
    <xf numFmtId="0" fontId="22" fillId="0" borderId="13" xfId="0" applyFont="1" applyBorder="1" applyAlignment="1">
      <alignment horizontal="center"/>
    </xf>
    <xf numFmtId="0" fontId="63" fillId="0" borderId="0" xfId="0" applyFont="1" applyAlignment="1">
      <alignment horizontal="center" vertical="center"/>
    </xf>
    <xf numFmtId="0" fontId="64" fillId="0" borderId="0" xfId="0" applyFont="1" applyAlignment="1">
      <alignment horizontal="center" vertical="center"/>
    </xf>
    <xf numFmtId="0" fontId="5" fillId="0" borderId="140" xfId="0" applyFont="1" applyBorder="1" applyAlignment="1">
      <alignment horizontal="center" vertical="center"/>
    </xf>
    <xf numFmtId="0" fontId="0" fillId="0" borderId="141" xfId="0" applyFont="1" applyBorder="1" applyAlignment="1">
      <alignment horizontal="center" vertical="center"/>
    </xf>
    <xf numFmtId="0" fontId="24" fillId="0" borderId="19" xfId="0" applyFont="1" applyBorder="1" applyAlignment="1">
      <alignment horizontal="center" vertical="center"/>
    </xf>
    <xf numFmtId="0" fontId="10" fillId="0" borderId="19" xfId="0" applyFont="1" applyBorder="1" applyAlignment="1">
      <alignment horizontal="center" vertical="center"/>
    </xf>
    <xf numFmtId="0" fontId="24" fillId="0" borderId="0" xfId="0" applyFont="1" applyAlignment="1">
      <alignment horizontal="left" indent="1"/>
    </xf>
    <xf numFmtId="0" fontId="0" fillId="36" borderId="142" xfId="0" applyFill="1" applyBorder="1" applyAlignment="1" applyProtection="1">
      <alignment horizontal="center" vertical="center"/>
      <protection locked="0"/>
    </xf>
    <xf numFmtId="2" fontId="0" fillId="40" borderId="143" xfId="0" applyNumberFormat="1" applyFill="1" applyBorder="1" applyAlignment="1">
      <alignment horizontal="center" vertical="center"/>
    </xf>
    <xf numFmtId="0" fontId="39" fillId="0" borderId="0" xfId="0" applyFont="1" applyAlignment="1">
      <alignment horizontal="right" vertical="center"/>
    </xf>
    <xf numFmtId="0" fontId="39" fillId="0" borderId="0" xfId="0" applyFont="1" applyAlignment="1">
      <alignment horizontal="left" vertical="center"/>
    </xf>
    <xf numFmtId="0" fontId="65" fillId="34" borderId="11" xfId="0" applyFont="1" applyFill="1" applyBorder="1" applyAlignment="1">
      <alignment/>
    </xf>
    <xf numFmtId="0" fontId="65" fillId="34" borderId="13" xfId="0" applyFont="1" applyFill="1" applyBorder="1" applyAlignment="1">
      <alignment/>
    </xf>
    <xf numFmtId="0" fontId="39" fillId="0" borderId="0" xfId="0" applyFont="1" applyAlignment="1">
      <alignment vertical="top"/>
    </xf>
    <xf numFmtId="0" fontId="10" fillId="0" borderId="0" xfId="0" applyFont="1" applyAlignment="1">
      <alignment horizontal="left" indent="1"/>
    </xf>
    <xf numFmtId="0" fontId="0" fillId="0" borderId="10" xfId="0" applyFont="1" applyBorder="1" applyAlignment="1">
      <alignment horizontal="center" vertical="center"/>
    </xf>
    <xf numFmtId="2" fontId="0" fillId="40" borderId="144" xfId="0" applyNumberFormat="1" applyFill="1" applyBorder="1" applyAlignment="1">
      <alignment horizontal="center" vertical="center"/>
    </xf>
    <xf numFmtId="0" fontId="65" fillId="34" borderId="145" xfId="0" applyFont="1" applyFill="1" applyBorder="1" applyAlignment="1">
      <alignment/>
    </xf>
    <xf numFmtId="0" fontId="65" fillId="34" borderId="146" xfId="0" applyFont="1" applyFill="1" applyBorder="1" applyAlignment="1">
      <alignment/>
    </xf>
    <xf numFmtId="0" fontId="5" fillId="0" borderId="147" xfId="0" applyFont="1" applyBorder="1" applyAlignment="1">
      <alignment horizontal="center" vertical="center"/>
    </xf>
    <xf numFmtId="0" fontId="0" fillId="0" borderId="148" xfId="0" applyFont="1" applyBorder="1" applyAlignment="1">
      <alignment horizontal="center" vertical="center"/>
    </xf>
    <xf numFmtId="0" fontId="10" fillId="0" borderId="19" xfId="0" applyFont="1" applyBorder="1" applyAlignment="1">
      <alignment horizontal="center"/>
    </xf>
    <xf numFmtId="2" fontId="30" fillId="0" borderId="19" xfId="0" applyNumberFormat="1" applyFont="1" applyBorder="1" applyAlignment="1">
      <alignment horizontal="center" vertical="center"/>
    </xf>
    <xf numFmtId="167" fontId="10" fillId="0" borderId="19" xfId="0" applyNumberFormat="1" applyFont="1" applyBorder="1" applyAlignment="1">
      <alignment horizontal="center"/>
    </xf>
    <xf numFmtId="2" fontId="10" fillId="0" borderId="19" xfId="0" applyNumberFormat="1" applyFont="1" applyBorder="1" applyAlignment="1">
      <alignment horizontal="center"/>
    </xf>
    <xf numFmtId="0" fontId="10" fillId="0" borderId="0" xfId="0" applyFont="1" applyAlignment="1">
      <alignment horizontal="center" vertical="center"/>
    </xf>
    <xf numFmtId="2" fontId="10" fillId="0" borderId="19" xfId="0" applyNumberFormat="1" applyFont="1" applyBorder="1" applyAlignment="1">
      <alignment horizontal="center" vertical="center"/>
    </xf>
    <xf numFmtId="0" fontId="10" fillId="0" borderId="0" xfId="0" applyFont="1" applyAlignment="1">
      <alignment horizontal="center"/>
    </xf>
    <xf numFmtId="1" fontId="10" fillId="0" borderId="19" xfId="0" applyNumberFormat="1" applyFont="1" applyBorder="1" applyAlignment="1">
      <alignment horizontal="center"/>
    </xf>
    <xf numFmtId="2" fontId="10" fillId="0" borderId="0" xfId="0" applyNumberFormat="1" applyFont="1" applyAlignment="1">
      <alignment horizontal="center"/>
    </xf>
    <xf numFmtId="168" fontId="10" fillId="33" borderId="18" xfId="0" applyNumberFormat="1" applyFont="1" applyFill="1" applyBorder="1" applyAlignment="1">
      <alignment horizontal="right" vertical="center"/>
    </xf>
    <xf numFmtId="168" fontId="10" fillId="33" borderId="19" xfId="0" applyNumberFormat="1" applyFont="1" applyFill="1" applyBorder="1" applyAlignment="1">
      <alignment horizontal="right" vertical="center"/>
    </xf>
    <xf numFmtId="164" fontId="58" fillId="33" borderId="19" xfId="0" applyNumberFormat="1" applyFont="1" applyFill="1" applyBorder="1" applyAlignment="1">
      <alignment horizontal="right" vertical="center"/>
    </xf>
    <xf numFmtId="2" fontId="10" fillId="33" borderId="19" xfId="0" applyNumberFormat="1" applyFont="1" applyFill="1" applyBorder="1" applyAlignment="1">
      <alignment horizontal="right" vertical="center"/>
    </xf>
    <xf numFmtId="0" fontId="30" fillId="33" borderId="19" xfId="0" applyFont="1" applyFill="1" applyBorder="1" applyAlignment="1">
      <alignment horizontal="center" wrapText="1"/>
    </xf>
    <xf numFmtId="0" fontId="30" fillId="33" borderId="16" xfId="0" applyFont="1" applyFill="1" applyBorder="1" applyAlignment="1">
      <alignment horizontal="center" wrapText="1"/>
    </xf>
    <xf numFmtId="0" fontId="30" fillId="33" borderId="26" xfId="0" applyFont="1" applyFill="1" applyBorder="1" applyAlignment="1">
      <alignment horizontal="center" wrapText="1"/>
    </xf>
    <xf numFmtId="2" fontId="67" fillId="33" borderId="19" xfId="0" applyNumberFormat="1" applyFont="1" applyFill="1" applyBorder="1" applyAlignment="1">
      <alignment horizontal="right" wrapText="1" indent="1"/>
    </xf>
    <xf numFmtId="2" fontId="30" fillId="33" borderId="19" xfId="0" applyNumberFormat="1" applyFont="1" applyFill="1" applyBorder="1" applyAlignment="1">
      <alignment horizontal="right" wrapText="1" indent="1"/>
    </xf>
    <xf numFmtId="167" fontId="30" fillId="33" borderId="19" xfId="0" applyNumberFormat="1" applyFont="1" applyFill="1" applyBorder="1" applyAlignment="1">
      <alignment horizontal="right" wrapText="1" indent="1"/>
    </xf>
    <xf numFmtId="166" fontId="30" fillId="33" borderId="19" xfId="0" applyNumberFormat="1" applyFont="1" applyFill="1" applyBorder="1" applyAlignment="1">
      <alignment horizontal="center" wrapText="1"/>
    </xf>
    <xf numFmtId="0" fontId="5" fillId="0" borderId="62" xfId="0" applyFont="1" applyBorder="1" applyAlignment="1">
      <alignment/>
    </xf>
    <xf numFmtId="0" fontId="22" fillId="0" borderId="0" xfId="0" applyFont="1" applyAlignment="1">
      <alignment horizontal="left"/>
    </xf>
    <xf numFmtId="0" fontId="0" fillId="0" borderId="149" xfId="0" applyFont="1" applyBorder="1" applyAlignment="1">
      <alignment horizontal="center" vertical="center"/>
    </xf>
    <xf numFmtId="0" fontId="0" fillId="0" borderId="150" xfId="0" applyFont="1" applyBorder="1" applyAlignment="1">
      <alignment horizontal="center"/>
    </xf>
    <xf numFmtId="0" fontId="7" fillId="0" borderId="150" xfId="0" applyFont="1" applyBorder="1" applyAlignment="1">
      <alignment horizontal="center"/>
    </xf>
    <xf numFmtId="0" fontId="0" fillId="0" borderId="151" xfId="0" applyFont="1" applyBorder="1" applyAlignment="1">
      <alignment horizontal="center"/>
    </xf>
    <xf numFmtId="0" fontId="0" fillId="0" borderId="152" xfId="0" applyFont="1" applyBorder="1" applyAlignment="1">
      <alignment horizontal="center"/>
    </xf>
    <xf numFmtId="0" fontId="0" fillId="0" borderId="153" xfId="0" applyFont="1" applyBorder="1" applyAlignment="1">
      <alignment horizontal="center"/>
    </xf>
    <xf numFmtId="0" fontId="0" fillId="0" borderId="154" xfId="0" applyBorder="1" applyAlignment="1">
      <alignment vertical="center"/>
    </xf>
    <xf numFmtId="0" fontId="7" fillId="33" borderId="155" xfId="0" applyFont="1" applyFill="1" applyBorder="1" applyAlignment="1">
      <alignment horizontal="center"/>
    </xf>
    <xf numFmtId="0" fontId="0" fillId="0" borderId="156" xfId="0" applyBorder="1" applyAlignment="1">
      <alignment/>
    </xf>
    <xf numFmtId="0" fontId="0" fillId="0" borderId="66" xfId="0" applyBorder="1" applyAlignment="1">
      <alignment vertical="center"/>
    </xf>
    <xf numFmtId="0" fontId="10" fillId="0" borderId="157" xfId="0" applyFont="1" applyBorder="1" applyAlignment="1">
      <alignment horizontal="center" wrapText="1"/>
    </xf>
    <xf numFmtId="0" fontId="10" fillId="0" borderId="157" xfId="0" applyFont="1" applyBorder="1" applyAlignment="1">
      <alignment horizontal="center" vertical="center" wrapText="1"/>
    </xf>
    <xf numFmtId="0" fontId="24" fillId="0" borderId="158" xfId="0" applyFont="1" applyBorder="1" applyAlignment="1">
      <alignment horizontal="center" vertical="center" wrapText="1"/>
    </xf>
    <xf numFmtId="0" fontId="0" fillId="0" borderId="159" xfId="0" applyBorder="1" applyAlignment="1">
      <alignment/>
    </xf>
    <xf numFmtId="0" fontId="10" fillId="0" borderId="126" xfId="0" applyFont="1" applyBorder="1" applyAlignment="1">
      <alignment horizontal="center" vertical="top" wrapText="1"/>
    </xf>
    <xf numFmtId="0" fontId="10" fillId="0" borderId="78" xfId="0" applyFont="1" applyBorder="1" applyAlignment="1">
      <alignment horizontal="center" vertical="top" wrapText="1"/>
    </xf>
    <xf numFmtId="0" fontId="0" fillId="0" borderId="160" xfId="0" applyBorder="1" applyAlignment="1">
      <alignment horizontal="center"/>
    </xf>
    <xf numFmtId="3" fontId="9" fillId="0" borderId="125" xfId="0" applyNumberFormat="1" applyFont="1" applyBorder="1" applyAlignment="1">
      <alignment/>
    </xf>
    <xf numFmtId="0" fontId="9" fillId="0" borderId="161" xfId="0" applyFont="1" applyBorder="1" applyAlignment="1">
      <alignment/>
    </xf>
    <xf numFmtId="0" fontId="9" fillId="0" borderId="126" xfId="0" applyFont="1" applyBorder="1" applyAlignment="1">
      <alignment/>
    </xf>
    <xf numFmtId="185" fontId="9" fillId="0" borderId="126" xfId="0" applyNumberFormat="1" applyFont="1" applyBorder="1" applyAlignment="1">
      <alignment/>
    </xf>
    <xf numFmtId="184" fontId="9" fillId="0" borderId="162" xfId="42" applyNumberFormat="1" applyFont="1" applyFill="1" applyBorder="1" applyAlignment="1" applyProtection="1">
      <alignment/>
      <protection/>
    </xf>
    <xf numFmtId="0" fontId="9" fillId="0" borderId="162" xfId="0" applyFont="1" applyBorder="1" applyAlignment="1">
      <alignment/>
    </xf>
    <xf numFmtId="186" fontId="9" fillId="0" borderId="162" xfId="42" applyNumberFormat="1" applyFont="1" applyFill="1" applyBorder="1" applyAlignment="1" applyProtection="1">
      <alignment/>
      <protection/>
    </xf>
    <xf numFmtId="3" fontId="9" fillId="0" borderId="162" xfId="0" applyNumberFormat="1" applyFont="1" applyBorder="1" applyAlignment="1">
      <alignment/>
    </xf>
    <xf numFmtId="182" fontId="9" fillId="0" borderId="0" xfId="0" applyNumberFormat="1" applyFont="1" applyBorder="1" applyAlignment="1">
      <alignment/>
    </xf>
    <xf numFmtId="0" fontId="82" fillId="41" borderId="163" xfId="0" applyFont="1" applyFill="1" applyBorder="1" applyAlignment="1">
      <alignment horizontal="center"/>
    </xf>
    <xf numFmtId="0" fontId="14" fillId="0" borderId="139" xfId="0" applyFont="1" applyBorder="1" applyAlignment="1">
      <alignment horizontal="left"/>
    </xf>
    <xf numFmtId="3" fontId="9" fillId="0" borderId="126" xfId="0" applyNumberFormat="1" applyFont="1" applyBorder="1" applyAlignment="1">
      <alignment/>
    </xf>
    <xf numFmtId="0" fontId="0" fillId="0" borderId="164" xfId="0" applyBorder="1" applyAlignment="1">
      <alignment/>
    </xf>
    <xf numFmtId="0" fontId="0" fillId="0" borderId="165" xfId="0" applyBorder="1" applyAlignment="1">
      <alignment/>
    </xf>
    <xf numFmtId="3" fontId="9" fillId="0" borderId="164" xfId="0" applyNumberFormat="1" applyFont="1" applyBorder="1" applyAlignment="1">
      <alignment/>
    </xf>
    <xf numFmtId="0" fontId="83" fillId="42" borderId="0" xfId="0" applyFont="1" applyFill="1" applyBorder="1" applyAlignment="1">
      <alignment horizontal="center"/>
    </xf>
    <xf numFmtId="0" fontId="82" fillId="41" borderId="80" xfId="0" applyFont="1" applyFill="1" applyBorder="1" applyAlignment="1">
      <alignment horizontal="center"/>
    </xf>
    <xf numFmtId="0" fontId="14" fillId="0" borderId="0" xfId="0" applyFont="1" applyBorder="1" applyAlignment="1">
      <alignment horizontal="left"/>
    </xf>
    <xf numFmtId="3" fontId="9" fillId="0" borderId="165" xfId="0" applyNumberFormat="1" applyFont="1" applyBorder="1" applyAlignment="1">
      <alignment/>
    </xf>
    <xf numFmtId="0" fontId="14" fillId="0" borderId="86" xfId="0" applyFont="1" applyBorder="1" applyAlignment="1">
      <alignment horizontal="left"/>
    </xf>
    <xf numFmtId="0" fontId="83" fillId="42" borderId="94" xfId="0" applyFont="1" applyFill="1" applyBorder="1" applyAlignment="1">
      <alignment horizontal="center"/>
    </xf>
    <xf numFmtId="0" fontId="0" fillId="0" borderId="166" xfId="0" applyBorder="1" applyAlignment="1">
      <alignment horizontal="center"/>
    </xf>
    <xf numFmtId="0" fontId="82" fillId="41" borderId="94" xfId="0" applyFont="1" applyFill="1" applyBorder="1" applyAlignment="1">
      <alignment horizontal="center"/>
    </xf>
    <xf numFmtId="0" fontId="0" fillId="0" borderId="159" xfId="0" applyBorder="1" applyAlignment="1">
      <alignment horizontal="center"/>
    </xf>
    <xf numFmtId="0" fontId="0" fillId="0" borderId="78" xfId="0" applyBorder="1" applyAlignment="1">
      <alignment/>
    </xf>
    <xf numFmtId="0" fontId="0" fillId="0" borderId="125" xfId="0" applyBorder="1" applyAlignment="1">
      <alignment/>
    </xf>
    <xf numFmtId="182" fontId="9" fillId="0" borderId="167" xfId="0" applyNumberFormat="1" applyFont="1" applyBorder="1" applyAlignment="1">
      <alignment/>
    </xf>
    <xf numFmtId="0" fontId="82" fillId="41" borderId="0" xfId="0" applyFont="1" applyFill="1" applyBorder="1" applyAlignment="1">
      <alignment horizontal="center"/>
    </xf>
    <xf numFmtId="0" fontId="0" fillId="40" borderId="168" xfId="0" applyFill="1" applyBorder="1" applyAlignment="1">
      <alignment horizontal="center"/>
    </xf>
    <xf numFmtId="3" fontId="9" fillId="40" borderId="169" xfId="0" applyNumberFormat="1" applyFont="1" applyFill="1" applyBorder="1" applyAlignment="1">
      <alignment/>
    </xf>
    <xf numFmtId="0" fontId="0" fillId="0" borderId="170" xfId="0" applyBorder="1" applyAlignment="1">
      <alignment/>
    </xf>
    <xf numFmtId="0" fontId="7" fillId="33" borderId="171" xfId="0" applyFont="1" applyFill="1" applyBorder="1" applyAlignment="1">
      <alignment horizontal="center"/>
    </xf>
    <xf numFmtId="0" fontId="0" fillId="0" borderId="0" xfId="0" applyBorder="1" applyAlignment="1">
      <alignment horizontal="center"/>
    </xf>
    <xf numFmtId="183" fontId="9" fillId="0" borderId="162" xfId="42" applyNumberFormat="1" applyFont="1" applyFill="1" applyBorder="1" applyAlignment="1" applyProtection="1">
      <alignment/>
      <protection/>
    </xf>
    <xf numFmtId="187" fontId="9" fillId="0" borderId="0" xfId="0" applyNumberFormat="1" applyFont="1" applyBorder="1" applyAlignment="1">
      <alignment/>
    </xf>
    <xf numFmtId="0" fontId="27" fillId="0" borderId="12" xfId="0" applyFont="1" applyBorder="1" applyAlignment="1">
      <alignment horizontal="right"/>
    </xf>
    <xf numFmtId="0" fontId="17" fillId="0" borderId="0" xfId="0" applyFont="1" applyAlignment="1">
      <alignment horizontal="right"/>
    </xf>
    <xf numFmtId="0" fontId="27" fillId="0" borderId="0" xfId="0" applyFont="1" applyAlignment="1">
      <alignment horizontal="center"/>
    </xf>
    <xf numFmtId="0" fontId="0" fillId="0" borderId="0" xfId="0" applyFont="1" applyAlignment="1">
      <alignment horizontal="center" vertical="center"/>
    </xf>
    <xf numFmtId="0" fontId="9" fillId="0" borderId="0" xfId="0" applyFont="1" applyAlignment="1">
      <alignment horizontal="center" vertical="center"/>
    </xf>
    <xf numFmtId="0" fontId="17" fillId="0" borderId="0" xfId="0" applyFont="1" applyAlignment="1">
      <alignment vertical="center"/>
    </xf>
    <xf numFmtId="187" fontId="9" fillId="0" borderId="167" xfId="0" applyNumberFormat="1" applyFont="1" applyBorder="1" applyAlignment="1">
      <alignment/>
    </xf>
    <xf numFmtId="188" fontId="9" fillId="0" borderId="0" xfId="0" applyNumberFormat="1" applyFont="1" applyAlignment="1">
      <alignment horizontal="center" vertical="center"/>
    </xf>
    <xf numFmtId="0" fontId="14" fillId="0" borderId="12" xfId="0" applyFont="1" applyBorder="1" applyAlignment="1">
      <alignment horizontal="right"/>
    </xf>
    <xf numFmtId="0" fontId="84" fillId="0" borderId="0" xfId="0" applyFont="1" applyAlignment="1">
      <alignment horizontal="center" vertical="top"/>
    </xf>
    <xf numFmtId="0" fontId="84" fillId="0" borderId="0" xfId="0" applyFont="1" applyAlignment="1">
      <alignment horizontal="center" vertical="center"/>
    </xf>
    <xf numFmtId="0" fontId="36" fillId="39" borderId="172" xfId="0" applyFont="1" applyFill="1" applyBorder="1" applyAlignment="1">
      <alignment horizontal="center" wrapText="1"/>
    </xf>
    <xf numFmtId="0" fontId="36" fillId="39" borderId="173" xfId="0" applyFont="1" applyFill="1" applyBorder="1" applyAlignment="1">
      <alignment horizontal="center" wrapText="1"/>
    </xf>
    <xf numFmtId="0" fontId="36" fillId="39" borderId="174" xfId="0" applyFont="1" applyFill="1" applyBorder="1" applyAlignment="1">
      <alignment horizontal="center" wrapText="1"/>
    </xf>
    <xf numFmtId="0" fontId="36" fillId="39" borderId="175" xfId="0" applyFont="1" applyFill="1" applyBorder="1" applyAlignment="1">
      <alignment horizontal="center" wrapText="1"/>
    </xf>
    <xf numFmtId="0" fontId="0" fillId="0" borderId="176" xfId="0" applyFont="1" applyBorder="1" applyAlignment="1">
      <alignment/>
    </xf>
    <xf numFmtId="0" fontId="0" fillId="0" borderId="177" xfId="0" applyBorder="1" applyAlignment="1">
      <alignment/>
    </xf>
    <xf numFmtId="0" fontId="36" fillId="33" borderId="177" xfId="0" applyFont="1" applyFill="1" applyBorder="1" applyAlignment="1">
      <alignment wrapText="1"/>
    </xf>
    <xf numFmtId="166" fontId="40" fillId="37" borderId="126" xfId="0" applyNumberFormat="1" applyFont="1" applyFill="1" applyBorder="1" applyAlignment="1">
      <alignment horizontal="center" wrapText="1"/>
    </xf>
    <xf numFmtId="166" fontId="36" fillId="37" borderId="82" xfId="0" applyNumberFormat="1" applyFont="1" applyFill="1" applyBorder="1" applyAlignment="1">
      <alignment horizontal="right" wrapText="1" indent="1"/>
    </xf>
    <xf numFmtId="0" fontId="84" fillId="0" borderId="0" xfId="0" applyFont="1" applyAlignment="1">
      <alignment horizontal="center"/>
    </xf>
    <xf numFmtId="3" fontId="40" fillId="34" borderId="75" xfId="0" applyNumberFormat="1" applyFont="1" applyFill="1" applyBorder="1" applyAlignment="1">
      <alignment horizontal="center" wrapText="1"/>
    </xf>
    <xf numFmtId="0" fontId="10" fillId="0" borderId="0" xfId="0" applyFont="1" applyAlignment="1">
      <alignment horizontal="right" vertical="center"/>
    </xf>
    <xf numFmtId="0" fontId="10" fillId="0" borderId="0" xfId="0" applyFont="1" applyAlignment="1">
      <alignment horizontal="right"/>
    </xf>
    <xf numFmtId="0" fontId="0" fillId="0" borderId="59" xfId="0" applyFont="1" applyBorder="1" applyAlignment="1">
      <alignment/>
    </xf>
    <xf numFmtId="3" fontId="40" fillId="34" borderId="178" xfId="0" applyNumberFormat="1" applyFont="1" applyFill="1" applyBorder="1" applyAlignment="1">
      <alignment horizontal="center" wrapText="1"/>
    </xf>
    <xf numFmtId="3" fontId="36" fillId="0" borderId="179" xfId="0" applyNumberFormat="1" applyFont="1" applyBorder="1" applyAlignment="1">
      <alignment horizontal="center" wrapText="1"/>
    </xf>
    <xf numFmtId="4" fontId="36" fillId="0" borderId="179" xfId="0" applyNumberFormat="1" applyFont="1" applyBorder="1" applyAlignment="1">
      <alignment horizontal="right" wrapText="1" indent="1"/>
    </xf>
    <xf numFmtId="175" fontId="36" fillId="0" borderId="179" xfId="0" applyNumberFormat="1" applyFont="1" applyBorder="1" applyAlignment="1">
      <alignment horizontal="right" wrapText="1" indent="1"/>
    </xf>
    <xf numFmtId="181" fontId="36" fillId="0" borderId="179" xfId="0" applyNumberFormat="1" applyFont="1" applyBorder="1" applyAlignment="1">
      <alignment horizontal="right" wrapText="1" indent="1"/>
    </xf>
    <xf numFmtId="0" fontId="0" fillId="0" borderId="180" xfId="0" applyBorder="1" applyAlignment="1">
      <alignment/>
    </xf>
    <xf numFmtId="3" fontId="40" fillId="34" borderId="76" xfId="0" applyNumberFormat="1" applyFont="1" applyFill="1" applyBorder="1" applyAlignment="1">
      <alignment horizontal="center" wrapText="1"/>
    </xf>
    <xf numFmtId="4" fontId="36" fillId="0" borderId="77" xfId="0" applyNumberFormat="1" applyFont="1" applyBorder="1" applyAlignment="1">
      <alignment horizontal="right" wrapText="1" indent="1"/>
    </xf>
    <xf numFmtId="175" fontId="36" fillId="0" borderId="77" xfId="0" applyNumberFormat="1" applyFont="1" applyBorder="1" applyAlignment="1">
      <alignment horizontal="right" wrapText="1" indent="1"/>
    </xf>
    <xf numFmtId="181" fontId="36" fillId="0" borderId="77" xfId="0" applyNumberFormat="1" applyFont="1" applyBorder="1" applyAlignment="1">
      <alignment horizontal="right" wrapText="1" indent="1"/>
    </xf>
    <xf numFmtId="175" fontId="36" fillId="0" borderId="110" xfId="0" applyNumberFormat="1" applyFont="1" applyBorder="1" applyAlignment="1">
      <alignment horizontal="right" wrapText="1" indent="1"/>
    </xf>
    <xf numFmtId="0" fontId="0" fillId="0" borderId="181" xfId="0" applyFont="1" applyBorder="1" applyAlignment="1">
      <alignment/>
    </xf>
    <xf numFmtId="0" fontId="0" fillId="0" borderId="182" xfId="0" applyBorder="1" applyAlignment="1">
      <alignment/>
    </xf>
    <xf numFmtId="4" fontId="36" fillId="0" borderId="110" xfId="0" applyNumberFormat="1" applyFont="1" applyBorder="1" applyAlignment="1">
      <alignment horizontal="right" wrapText="1" indent="1"/>
    </xf>
    <xf numFmtId="181" fontId="36" fillId="0" borderId="110" xfId="0" applyNumberFormat="1" applyFont="1" applyBorder="1" applyAlignment="1">
      <alignment horizontal="right" wrapText="1" indent="1"/>
    </xf>
    <xf numFmtId="3" fontId="40" fillId="34" borderId="183" xfId="0" applyNumberFormat="1" applyFont="1" applyFill="1" applyBorder="1" applyAlignment="1">
      <alignment horizontal="center" wrapText="1"/>
    </xf>
    <xf numFmtId="3" fontId="36" fillId="0" borderId="184" xfId="0" applyNumberFormat="1" applyFont="1" applyBorder="1" applyAlignment="1">
      <alignment horizontal="center" wrapText="1"/>
    </xf>
    <xf numFmtId="175" fontId="36" fillId="0" borderId="184" xfId="0" applyNumberFormat="1" applyFont="1" applyBorder="1" applyAlignment="1">
      <alignment horizontal="right" wrapText="1" indent="1"/>
    </xf>
    <xf numFmtId="4" fontId="36" fillId="0" borderId="184" xfId="0" applyNumberFormat="1" applyFont="1" applyBorder="1" applyAlignment="1">
      <alignment horizontal="right" wrapText="1" indent="1"/>
    </xf>
    <xf numFmtId="181" fontId="36" fillId="0" borderId="184" xfId="0" applyNumberFormat="1" applyFont="1" applyBorder="1" applyAlignment="1">
      <alignment horizontal="right" wrapText="1" indent="1"/>
    </xf>
    <xf numFmtId="0" fontId="0" fillId="0" borderId="185" xfId="0" applyFont="1" applyBorder="1" applyAlignment="1">
      <alignment/>
    </xf>
    <xf numFmtId="0" fontId="0" fillId="0" borderId="186" xfId="0" applyBorder="1" applyAlignment="1">
      <alignment/>
    </xf>
    <xf numFmtId="189" fontId="36" fillId="0" borderId="77" xfId="0" applyNumberFormat="1" applyFont="1" applyBorder="1" applyAlignment="1">
      <alignment horizontal="right" wrapText="1" indent="1"/>
    </xf>
    <xf numFmtId="189" fontId="36" fillId="0" borderId="81" xfId="0" applyNumberFormat="1" applyFont="1" applyBorder="1" applyAlignment="1">
      <alignment horizontal="right" wrapText="1" indent="1"/>
    </xf>
    <xf numFmtId="189" fontId="36" fillId="0" borderId="179" xfId="0" applyNumberFormat="1" applyFont="1" applyBorder="1" applyAlignment="1">
      <alignment horizontal="right" wrapText="1" indent="1"/>
    </xf>
    <xf numFmtId="189" fontId="36" fillId="0" borderId="110" xfId="0" applyNumberFormat="1" applyFont="1" applyBorder="1" applyAlignment="1">
      <alignment horizontal="right" wrapText="1" indent="1"/>
    </xf>
    <xf numFmtId="190" fontId="36" fillId="0" borderId="110" xfId="0" applyNumberFormat="1" applyFont="1" applyBorder="1" applyAlignment="1">
      <alignment horizontal="right" wrapText="1" indent="1"/>
    </xf>
    <xf numFmtId="189" fontId="36" fillId="0" borderId="87" xfId="0" applyNumberFormat="1" applyFont="1" applyBorder="1" applyAlignment="1">
      <alignment horizontal="right" wrapText="1" indent="1"/>
    </xf>
    <xf numFmtId="190" fontId="36" fillId="0" borderId="87" xfId="0" applyNumberFormat="1" applyFont="1" applyBorder="1" applyAlignment="1">
      <alignment horizontal="right" wrapText="1" indent="1"/>
    </xf>
    <xf numFmtId="190" fontId="36" fillId="0" borderId="179" xfId="0" applyNumberFormat="1" applyFont="1" applyBorder="1" applyAlignment="1">
      <alignment horizontal="right" wrapText="1" indent="1"/>
    </xf>
    <xf numFmtId="3" fontId="0" fillId="0" borderId="0" xfId="0" applyNumberFormat="1" applyAlignment="1">
      <alignment/>
    </xf>
    <xf numFmtId="0" fontId="36" fillId="39" borderId="138" xfId="0" applyFont="1" applyFill="1" applyBorder="1" applyAlignment="1">
      <alignment horizontal="center" wrapText="1"/>
    </xf>
    <xf numFmtId="0" fontId="36" fillId="33" borderId="187" xfId="0" applyFont="1" applyFill="1" applyBorder="1" applyAlignment="1">
      <alignment wrapText="1"/>
    </xf>
    <xf numFmtId="0" fontId="0" fillId="0" borderId="0" xfId="0" applyFont="1" applyAlignment="1">
      <alignment horizontal="left" indent="1"/>
    </xf>
    <xf numFmtId="3" fontId="40" fillId="34" borderId="188" xfId="0" applyNumberFormat="1" applyFont="1" applyFill="1" applyBorder="1" applyAlignment="1">
      <alignment horizontal="center" wrapText="1"/>
    </xf>
    <xf numFmtId="0" fontId="10" fillId="0" borderId="64" xfId="0" applyFont="1" applyBorder="1" applyAlignment="1">
      <alignment horizontal="center" vertical="center"/>
    </xf>
    <xf numFmtId="4" fontId="36" fillId="0" borderId="189" xfId="0" applyNumberFormat="1" applyFont="1" applyBorder="1" applyAlignment="1">
      <alignment horizontal="right" wrapText="1" indent="1"/>
    </xf>
    <xf numFmtId="189" fontId="86" fillId="0" borderId="190" xfId="0" applyNumberFormat="1" applyFont="1" applyBorder="1" applyAlignment="1">
      <alignment horizontal="right" vertical="center" wrapText="1" indent="1"/>
    </xf>
    <xf numFmtId="191" fontId="61" fillId="0" borderId="148" xfId="0" applyNumberFormat="1" applyFont="1" applyBorder="1" applyAlignment="1">
      <alignment vertical="center"/>
    </xf>
    <xf numFmtId="191" fontId="10" fillId="0" borderId="191" xfId="0" applyNumberFormat="1" applyFont="1" applyBorder="1" applyAlignment="1">
      <alignment vertical="center"/>
    </xf>
    <xf numFmtId="3" fontId="10" fillId="0" borderId="192" xfId="0" applyNumberFormat="1" applyFont="1" applyBorder="1" applyAlignment="1">
      <alignment horizontal="left" vertical="center"/>
    </xf>
    <xf numFmtId="3" fontId="87" fillId="34" borderId="89" xfId="0" applyNumberFormat="1" applyFont="1" applyFill="1" applyBorder="1" applyAlignment="1">
      <alignment horizontal="center" wrapText="1"/>
    </xf>
    <xf numFmtId="0" fontId="10" fillId="0" borderId="12" xfId="0" applyFont="1" applyBorder="1" applyAlignment="1">
      <alignment horizontal="center" vertical="center"/>
    </xf>
    <xf numFmtId="4" fontId="36" fillId="0" borderId="193" xfId="0" applyNumberFormat="1" applyFont="1" applyBorder="1" applyAlignment="1">
      <alignment horizontal="right" wrapText="1" indent="1"/>
    </xf>
    <xf numFmtId="189" fontId="88" fillId="0" borderId="194" xfId="0" applyNumberFormat="1" applyFont="1" applyBorder="1" applyAlignment="1">
      <alignment horizontal="right" vertical="center" wrapText="1" indent="1"/>
    </xf>
    <xf numFmtId="191" fontId="39" fillId="0" borderId="13" xfId="0" applyNumberFormat="1" applyFont="1" applyBorder="1" applyAlignment="1">
      <alignment vertical="center"/>
    </xf>
    <xf numFmtId="191" fontId="86" fillId="0" borderId="190" xfId="0" applyNumberFormat="1" applyFont="1" applyBorder="1" applyAlignment="1">
      <alignment horizontal="right" vertical="center" wrapText="1" indent="1"/>
    </xf>
    <xf numFmtId="191" fontId="88" fillId="0" borderId="194" xfId="0" applyNumberFormat="1" applyFont="1" applyBorder="1" applyAlignment="1">
      <alignment horizontal="right" vertical="center" wrapText="1" indent="1"/>
    </xf>
    <xf numFmtId="191" fontId="54" fillId="0" borderId="190" xfId="0" applyNumberFormat="1" applyFont="1" applyBorder="1" applyAlignment="1">
      <alignment horizontal="right" vertical="center" wrapText="1" indent="1"/>
    </xf>
    <xf numFmtId="3" fontId="47" fillId="0" borderId="195" xfId="0" applyNumberFormat="1" applyFont="1" applyBorder="1" applyAlignment="1">
      <alignment horizontal="center" vertical="center"/>
    </xf>
    <xf numFmtId="3" fontId="47" fillId="0" borderId="196" xfId="0" applyNumberFormat="1" applyFont="1" applyBorder="1" applyAlignment="1">
      <alignment horizontal="center" vertical="center"/>
    </xf>
    <xf numFmtId="191" fontId="10" fillId="0" borderId="197" xfId="0" applyNumberFormat="1" applyFont="1" applyBorder="1" applyAlignment="1">
      <alignment vertical="center"/>
    </xf>
    <xf numFmtId="181" fontId="25" fillId="0" borderId="78" xfId="0" applyNumberFormat="1" applyFont="1" applyBorder="1" applyAlignment="1">
      <alignment horizontal="center" vertical="center"/>
    </xf>
    <xf numFmtId="164" fontId="10" fillId="0" borderId="0" xfId="0" applyNumberFormat="1" applyFont="1" applyAlignment="1">
      <alignment horizontal="right" vertical="center"/>
    </xf>
    <xf numFmtId="164" fontId="10" fillId="0" borderId="0" xfId="0" applyNumberFormat="1" applyFont="1" applyAlignment="1">
      <alignment/>
    </xf>
    <xf numFmtId="3" fontId="52" fillId="0" borderId="164" xfId="0" applyNumberFormat="1" applyFont="1" applyBorder="1" applyAlignment="1">
      <alignment horizontal="center" vertical="center"/>
    </xf>
    <xf numFmtId="0" fontId="50" fillId="39" borderId="97" xfId="0" applyFont="1" applyFill="1" applyBorder="1" applyAlignment="1">
      <alignment horizontal="center" wrapText="1"/>
    </xf>
    <xf numFmtId="0" fontId="50" fillId="39" borderId="25" xfId="0" applyFont="1" applyFill="1" applyBorder="1" applyAlignment="1">
      <alignment horizontal="center" wrapText="1"/>
    </xf>
    <xf numFmtId="165" fontId="30" fillId="0" borderId="110" xfId="0" applyNumberFormat="1" applyFont="1" applyBorder="1" applyAlignment="1">
      <alignment horizontal="right" vertical="center" wrapText="1"/>
    </xf>
    <xf numFmtId="165" fontId="30" fillId="0" borderId="90" xfId="0" applyNumberFormat="1" applyFont="1" applyBorder="1" applyAlignment="1">
      <alignment horizontal="right" vertical="center" wrapText="1"/>
    </xf>
    <xf numFmtId="0" fontId="82" fillId="41" borderId="112" xfId="0" applyFont="1" applyFill="1" applyBorder="1" applyAlignment="1">
      <alignment horizontal="center"/>
    </xf>
    <xf numFmtId="0" fontId="83" fillId="42" borderId="56" xfId="0" applyFont="1" applyFill="1" applyBorder="1" applyAlignment="1">
      <alignment horizontal="center"/>
    </xf>
    <xf numFmtId="0" fontId="82" fillId="41" borderId="116" xfId="0" applyFont="1" applyFill="1" applyBorder="1" applyAlignment="1">
      <alignment horizontal="center"/>
    </xf>
    <xf numFmtId="0" fontId="83" fillId="42" borderId="83" xfId="0" applyFont="1" applyFill="1" applyBorder="1" applyAlignment="1">
      <alignment horizontal="center"/>
    </xf>
    <xf numFmtId="0" fontId="82" fillId="41" borderId="83" xfId="0" applyFont="1" applyFill="1" applyBorder="1" applyAlignment="1">
      <alignment horizontal="center"/>
    </xf>
    <xf numFmtId="0" fontId="0" fillId="0" borderId="71" xfId="0" applyBorder="1" applyAlignment="1">
      <alignment/>
    </xf>
    <xf numFmtId="0" fontId="82" fillId="41" borderId="56" xfId="0" applyFont="1" applyFill="1" applyBorder="1" applyAlignment="1">
      <alignment horizontal="center"/>
    </xf>
    <xf numFmtId="166" fontId="36" fillId="37" borderId="126" xfId="0" applyNumberFormat="1" applyFont="1" applyFill="1" applyBorder="1" applyAlignment="1">
      <alignment horizontal="center" wrapText="1"/>
    </xf>
    <xf numFmtId="2" fontId="40" fillId="37" borderId="81" xfId="0" applyNumberFormat="1" applyFont="1" applyFill="1" applyBorder="1" applyAlignment="1">
      <alignment horizontal="center" wrapText="1"/>
    </xf>
    <xf numFmtId="166" fontId="40" fillId="37" borderId="198" xfId="0" applyNumberFormat="1" applyFont="1" applyFill="1" applyBorder="1" applyAlignment="1">
      <alignment horizontal="right" wrapText="1" indent="1"/>
    </xf>
    <xf numFmtId="0" fontId="0" fillId="0" borderId="77" xfId="0" applyBorder="1" applyAlignment="1">
      <alignment/>
    </xf>
    <xf numFmtId="3" fontId="40" fillId="34" borderId="181" xfId="0" applyNumberFormat="1" applyFont="1" applyFill="1" applyBorder="1" applyAlignment="1">
      <alignment horizontal="right" wrapText="1"/>
    </xf>
    <xf numFmtId="0" fontId="10" fillId="0" borderId="181" xfId="0" applyFont="1" applyBorder="1" applyAlignment="1">
      <alignment vertical="center"/>
    </xf>
    <xf numFmtId="3" fontId="36" fillId="34" borderId="75" xfId="0" applyNumberFormat="1" applyFont="1" applyFill="1" applyBorder="1" applyAlignment="1">
      <alignment horizontal="center" wrapText="1"/>
    </xf>
    <xf numFmtId="3" fontId="40" fillId="0" borderId="87" xfId="0" applyNumberFormat="1" applyFont="1" applyBorder="1" applyAlignment="1">
      <alignment horizontal="center" wrapText="1"/>
    </xf>
    <xf numFmtId="4" fontId="36" fillId="0" borderId="82" xfId="0" applyNumberFormat="1" applyFont="1" applyBorder="1" applyAlignment="1">
      <alignment horizontal="right" wrapText="1" indent="1"/>
    </xf>
    <xf numFmtId="3" fontId="90" fillId="43" borderId="126" xfId="0" applyNumberFormat="1" applyFont="1" applyFill="1" applyBorder="1" applyAlignment="1">
      <alignment/>
    </xf>
    <xf numFmtId="0" fontId="0" fillId="0" borderId="199" xfId="0" applyBorder="1" applyAlignment="1">
      <alignment/>
    </xf>
    <xf numFmtId="3" fontId="36" fillId="34" borderId="178" xfId="0" applyNumberFormat="1" applyFont="1" applyFill="1" applyBorder="1" applyAlignment="1">
      <alignment horizontal="center" wrapText="1"/>
    </xf>
    <xf numFmtId="3" fontId="40" fillId="0" borderId="179" xfId="0" applyNumberFormat="1" applyFont="1" applyBorder="1" applyAlignment="1">
      <alignment horizontal="center" wrapText="1"/>
    </xf>
    <xf numFmtId="4" fontId="36" fillId="0" borderId="200" xfId="0" applyNumberFormat="1" applyFont="1" applyBorder="1" applyAlignment="1">
      <alignment horizontal="right" wrapText="1" indent="1"/>
    </xf>
    <xf numFmtId="2" fontId="36" fillId="0" borderId="178" xfId="0" applyNumberFormat="1" applyFont="1" applyBorder="1" applyAlignment="1">
      <alignment horizontal="right" wrapText="1" indent="1"/>
    </xf>
    <xf numFmtId="167" fontId="36" fillId="0" borderId="201" xfId="0" applyNumberFormat="1" applyFont="1" applyBorder="1" applyAlignment="1">
      <alignment horizontal="right" wrapText="1" indent="1"/>
    </xf>
    <xf numFmtId="166" fontId="36" fillId="0" borderId="201" xfId="0" applyNumberFormat="1" applyFont="1" applyBorder="1" applyAlignment="1">
      <alignment horizontal="right" wrapText="1" indent="1"/>
    </xf>
    <xf numFmtId="175" fontId="36" fillId="0" borderId="200" xfId="0" applyNumberFormat="1" applyFont="1" applyBorder="1" applyAlignment="1">
      <alignment horizontal="right" wrapText="1" indent="1"/>
    </xf>
    <xf numFmtId="0" fontId="0" fillId="0" borderId="202" xfId="0" applyBorder="1" applyAlignment="1">
      <alignment/>
    </xf>
    <xf numFmtId="3" fontId="40" fillId="34" borderId="178" xfId="0" applyNumberFormat="1" applyFont="1" applyFill="1" applyBorder="1" applyAlignment="1">
      <alignment horizontal="right" wrapText="1"/>
    </xf>
    <xf numFmtId="3" fontId="36" fillId="34" borderId="76" xfId="0" applyNumberFormat="1" applyFont="1" applyFill="1" applyBorder="1" applyAlignment="1">
      <alignment horizontal="center" wrapText="1"/>
    </xf>
    <xf numFmtId="3" fontId="40" fillId="0" borderId="110" xfId="0" applyNumberFormat="1" applyFont="1" applyBorder="1" applyAlignment="1">
      <alignment horizontal="center" wrapText="1"/>
    </xf>
    <xf numFmtId="167" fontId="36" fillId="0" borderId="78" xfId="0" applyNumberFormat="1" applyFont="1" applyBorder="1" applyAlignment="1">
      <alignment horizontal="right" wrapText="1" indent="1"/>
    </xf>
    <xf numFmtId="166" fontId="36" fillId="0" borderId="78" xfId="0" applyNumberFormat="1" applyFont="1" applyBorder="1" applyAlignment="1">
      <alignment horizontal="right" wrapText="1" indent="1"/>
    </xf>
    <xf numFmtId="3" fontId="40" fillId="34" borderId="76" xfId="0" applyNumberFormat="1" applyFont="1" applyFill="1" applyBorder="1" applyAlignment="1">
      <alignment horizontal="right" wrapText="1"/>
    </xf>
    <xf numFmtId="4" fontId="36" fillId="0" borderId="203" xfId="0" applyNumberFormat="1" applyFont="1" applyBorder="1" applyAlignment="1">
      <alignment horizontal="right" wrapText="1" indent="1"/>
    </xf>
    <xf numFmtId="175" fontId="36" fillId="0" borderId="203" xfId="0" applyNumberFormat="1" applyFont="1" applyBorder="1" applyAlignment="1">
      <alignment horizontal="right" wrapText="1" indent="1"/>
    </xf>
    <xf numFmtId="3" fontId="40" fillId="33" borderId="170" xfId="0" applyNumberFormat="1" applyFont="1" applyFill="1" applyBorder="1" applyAlignment="1">
      <alignment horizontal="center" wrapText="1"/>
    </xf>
    <xf numFmtId="3" fontId="36" fillId="33" borderId="170" xfId="0" applyNumberFormat="1" applyFont="1" applyFill="1" applyBorder="1" applyAlignment="1">
      <alignment horizontal="center" wrapText="1"/>
    </xf>
    <xf numFmtId="175" fontId="36" fillId="0" borderId="170" xfId="0" applyNumberFormat="1" applyFont="1" applyBorder="1" applyAlignment="1">
      <alignment horizontal="right" wrapText="1" indent="1"/>
    </xf>
    <xf numFmtId="4" fontId="36" fillId="0" borderId="170" xfId="0" applyNumberFormat="1" applyFont="1" applyBorder="1" applyAlignment="1">
      <alignment horizontal="right" wrapText="1" indent="1"/>
    </xf>
    <xf numFmtId="2" fontId="36" fillId="0" borderId="170" xfId="0" applyNumberFormat="1" applyFont="1" applyBorder="1" applyAlignment="1">
      <alignment horizontal="right" wrapText="1" indent="1"/>
    </xf>
    <xf numFmtId="167" fontId="36" fillId="0" borderId="170" xfId="0" applyNumberFormat="1" applyFont="1" applyBorder="1" applyAlignment="1">
      <alignment horizontal="right" wrapText="1" indent="1"/>
    </xf>
    <xf numFmtId="166" fontId="36" fillId="0" borderId="170" xfId="0" applyNumberFormat="1" applyFont="1" applyBorder="1" applyAlignment="1">
      <alignment horizontal="right" wrapText="1" indent="1"/>
    </xf>
    <xf numFmtId="3" fontId="40" fillId="33" borderId="0" xfId="0" applyNumberFormat="1" applyFont="1" applyFill="1" applyBorder="1" applyAlignment="1">
      <alignment horizontal="center" wrapText="1"/>
    </xf>
    <xf numFmtId="3" fontId="36" fillId="33" borderId="0" xfId="0" applyNumberFormat="1" applyFont="1" applyFill="1" applyBorder="1" applyAlignment="1">
      <alignment horizontal="center" wrapText="1"/>
    </xf>
    <xf numFmtId="2" fontId="36" fillId="0" borderId="0" xfId="0" applyNumberFormat="1" applyFont="1" applyBorder="1" applyAlignment="1">
      <alignment horizontal="right" wrapText="1" indent="1"/>
    </xf>
    <xf numFmtId="167" fontId="36" fillId="0" borderId="0" xfId="0" applyNumberFormat="1" applyFont="1" applyBorder="1" applyAlignment="1">
      <alignment horizontal="right" wrapText="1" indent="1"/>
    </xf>
    <xf numFmtId="166" fontId="36" fillId="0" borderId="0" xfId="0" applyNumberFormat="1" applyFont="1" applyBorder="1" applyAlignment="1">
      <alignment horizontal="right" wrapText="1" indent="1"/>
    </xf>
    <xf numFmtId="0" fontId="36" fillId="39" borderId="204" xfId="0" applyFont="1" applyFill="1" applyBorder="1" applyAlignment="1">
      <alignment horizontal="center" wrapText="1"/>
    </xf>
    <xf numFmtId="166" fontId="40" fillId="37" borderId="204" xfId="0" applyNumberFormat="1" applyFont="1" applyFill="1" applyBorder="1" applyAlignment="1">
      <alignment horizontal="center" wrapText="1"/>
    </xf>
    <xf numFmtId="166" fontId="36" fillId="37" borderId="174" xfId="0" applyNumberFormat="1" applyFont="1" applyFill="1" applyBorder="1" applyAlignment="1">
      <alignment horizontal="center" wrapText="1"/>
    </xf>
    <xf numFmtId="2" fontId="40" fillId="37" borderId="172" xfId="0" applyNumberFormat="1" applyFont="1" applyFill="1" applyBorder="1" applyAlignment="1">
      <alignment horizontal="right" wrapText="1" indent="1"/>
    </xf>
    <xf numFmtId="2" fontId="36" fillId="37" borderId="174" xfId="0" applyNumberFormat="1" applyFont="1" applyFill="1" applyBorder="1" applyAlignment="1">
      <alignment horizontal="right" wrapText="1" indent="1"/>
    </xf>
    <xf numFmtId="2" fontId="36" fillId="37" borderId="172" xfId="0" applyNumberFormat="1" applyFont="1" applyFill="1" applyBorder="1" applyAlignment="1">
      <alignment horizontal="right" wrapText="1" indent="1"/>
    </xf>
    <xf numFmtId="167" fontId="36" fillId="37" borderId="204" xfId="0" applyNumberFormat="1" applyFont="1" applyFill="1" applyBorder="1" applyAlignment="1">
      <alignment horizontal="right" wrapText="1" indent="1"/>
    </xf>
    <xf numFmtId="166" fontId="36" fillId="37" borderId="204" xfId="0" applyNumberFormat="1" applyFont="1" applyFill="1" applyBorder="1" applyAlignment="1">
      <alignment horizontal="right" wrapText="1" indent="1"/>
    </xf>
    <xf numFmtId="166" fontId="40" fillId="37" borderId="174" xfId="0" applyNumberFormat="1" applyFont="1" applyFill="1" applyBorder="1" applyAlignment="1">
      <alignment horizontal="center" wrapText="1"/>
    </xf>
    <xf numFmtId="3" fontId="40" fillId="34" borderId="138" xfId="0" applyNumberFormat="1" applyFont="1" applyFill="1" applyBorder="1" applyAlignment="1">
      <alignment horizontal="right" wrapText="1"/>
    </xf>
    <xf numFmtId="4" fontId="36" fillId="0" borderId="76" xfId="0" applyNumberFormat="1" applyFont="1" applyBorder="1" applyAlignment="1">
      <alignment horizontal="right" wrapText="1" indent="1"/>
    </xf>
    <xf numFmtId="167" fontId="36" fillId="0" borderId="125" xfId="0" applyNumberFormat="1" applyFont="1" applyBorder="1" applyAlignment="1">
      <alignment horizontal="right" wrapText="1" indent="1"/>
    </xf>
    <xf numFmtId="166" fontId="36" fillId="0" borderId="125" xfId="0" applyNumberFormat="1" applyFont="1" applyBorder="1" applyAlignment="1">
      <alignment horizontal="right" wrapText="1" indent="1"/>
    </xf>
    <xf numFmtId="4" fontId="36" fillId="0" borderId="75" xfId="0" applyNumberFormat="1" applyFont="1" applyBorder="1" applyAlignment="1">
      <alignment horizontal="right" wrapText="1" indent="1"/>
    </xf>
    <xf numFmtId="167" fontId="36" fillId="0" borderId="126" xfId="0" applyNumberFormat="1" applyFont="1" applyBorder="1" applyAlignment="1">
      <alignment horizontal="right" wrapText="1" indent="1"/>
    </xf>
    <xf numFmtId="166" fontId="36" fillId="0" borderId="126" xfId="0" applyNumberFormat="1" applyFont="1" applyBorder="1" applyAlignment="1">
      <alignment horizontal="right" wrapText="1" indent="1"/>
    </xf>
    <xf numFmtId="4" fontId="46" fillId="36" borderId="205" xfId="0" applyNumberFormat="1" applyFont="1" applyFill="1" applyBorder="1" applyAlignment="1">
      <alignment/>
    </xf>
    <xf numFmtId="0" fontId="0" fillId="38" borderId="206" xfId="0" applyFont="1" applyFill="1" applyBorder="1" applyAlignment="1">
      <alignment/>
    </xf>
    <xf numFmtId="0" fontId="0" fillId="38" borderId="207" xfId="0" applyFont="1" applyFill="1" applyBorder="1" applyAlignment="1">
      <alignment/>
    </xf>
    <xf numFmtId="0" fontId="0" fillId="38" borderId="208" xfId="0" applyFont="1" applyFill="1" applyBorder="1" applyAlignment="1">
      <alignment/>
    </xf>
    <xf numFmtId="0" fontId="0" fillId="38" borderId="209" xfId="0" applyFont="1" applyFill="1" applyBorder="1" applyAlignment="1">
      <alignment/>
    </xf>
    <xf numFmtId="4" fontId="46" fillId="36" borderId="210" xfId="0" applyNumberFormat="1" applyFont="1" applyFill="1" applyBorder="1" applyAlignment="1">
      <alignment vertical="top"/>
    </xf>
    <xf numFmtId="4" fontId="46" fillId="36" borderId="211" xfId="0" applyNumberFormat="1" applyFont="1" applyFill="1" applyBorder="1" applyAlignment="1">
      <alignment/>
    </xf>
    <xf numFmtId="0" fontId="0" fillId="38" borderId="212" xfId="0" applyFill="1" applyBorder="1" applyAlignment="1">
      <alignment/>
    </xf>
    <xf numFmtId="0" fontId="0" fillId="38" borderId="213" xfId="0" applyFont="1" applyFill="1" applyBorder="1" applyAlignment="1">
      <alignment/>
    </xf>
    <xf numFmtId="0" fontId="45" fillId="38" borderId="214" xfId="0" applyFont="1" applyFill="1" applyBorder="1" applyAlignment="1">
      <alignment/>
    </xf>
    <xf numFmtId="0" fontId="45" fillId="38" borderId="215" xfId="0" applyFont="1" applyFill="1" applyBorder="1" applyAlignment="1">
      <alignment/>
    </xf>
    <xf numFmtId="0" fontId="45" fillId="38" borderId="216" xfId="0" applyFont="1" applyFill="1" applyBorder="1" applyAlignment="1">
      <alignment/>
    </xf>
    <xf numFmtId="0" fontId="0" fillId="38" borderId="217" xfId="0" applyFill="1" applyBorder="1" applyAlignment="1">
      <alignment/>
    </xf>
    <xf numFmtId="0" fontId="5" fillId="38" borderId="217" xfId="0" applyFont="1" applyFill="1" applyBorder="1" applyAlignment="1">
      <alignment/>
    </xf>
    <xf numFmtId="0" fontId="5" fillId="38" borderId="218" xfId="0" applyFont="1" applyFill="1" applyBorder="1" applyAlignment="1">
      <alignment/>
    </xf>
    <xf numFmtId="3" fontId="47" fillId="36" borderId="219" xfId="0" applyNumberFormat="1" applyFont="1" applyFill="1" applyBorder="1" applyAlignment="1">
      <alignment wrapText="1"/>
    </xf>
    <xf numFmtId="0" fontId="5" fillId="38" borderId="220" xfId="0" applyFont="1" applyFill="1" applyBorder="1" applyAlignment="1">
      <alignment horizontal="right"/>
    </xf>
    <xf numFmtId="0" fontId="5" fillId="38" borderId="217" xfId="0" applyFont="1" applyFill="1" applyBorder="1" applyAlignment="1">
      <alignment horizontal="right"/>
    </xf>
    <xf numFmtId="0" fontId="5" fillId="38" borderId="218" xfId="0" applyFont="1" applyFill="1" applyBorder="1" applyAlignment="1">
      <alignment horizontal="right"/>
    </xf>
    <xf numFmtId="3" fontId="47" fillId="36" borderId="219" xfId="0" applyNumberFormat="1" applyFont="1" applyFill="1" applyBorder="1" applyAlignment="1">
      <alignment horizontal="right" wrapText="1"/>
    </xf>
    <xf numFmtId="0" fontId="5" fillId="38" borderId="220" xfId="0" applyFont="1" applyFill="1" applyBorder="1" applyAlignment="1">
      <alignment/>
    </xf>
    <xf numFmtId="0" fontId="5" fillId="38" borderId="220" xfId="0" applyFont="1" applyFill="1" applyBorder="1" applyAlignment="1">
      <alignment horizontal="center" vertical="center"/>
    </xf>
    <xf numFmtId="0" fontId="5" fillId="38" borderId="217" xfId="0" applyFont="1" applyFill="1" applyBorder="1" applyAlignment="1">
      <alignment horizontal="center" vertical="center"/>
    </xf>
    <xf numFmtId="0" fontId="0" fillId="38" borderId="221" xfId="0" applyFont="1" applyFill="1" applyBorder="1" applyAlignment="1">
      <alignment/>
    </xf>
    <xf numFmtId="0" fontId="45" fillId="38" borderId="222" xfId="0" applyFont="1" applyFill="1" applyBorder="1" applyAlignment="1">
      <alignment/>
    </xf>
    <xf numFmtId="3" fontId="48" fillId="36" borderId="223" xfId="0" applyNumberFormat="1" applyFont="1" applyFill="1" applyBorder="1" applyAlignment="1">
      <alignment wrapText="1"/>
    </xf>
    <xf numFmtId="0" fontId="0" fillId="38" borderId="220" xfId="0" applyFont="1" applyFill="1" applyBorder="1" applyAlignment="1">
      <alignment/>
    </xf>
    <xf numFmtId="0" fontId="5" fillId="38" borderId="224" xfId="0" applyFont="1" applyFill="1" applyBorder="1" applyAlignment="1">
      <alignment horizontal="center" vertical="center"/>
    </xf>
    <xf numFmtId="3" fontId="47" fillId="36" borderId="225" xfId="0" applyNumberFormat="1" applyFont="1" applyFill="1" applyBorder="1" applyAlignment="1">
      <alignment horizontal="center" vertical="center"/>
    </xf>
    <xf numFmtId="3" fontId="47" fillId="0" borderId="226" xfId="0" applyNumberFormat="1" applyFont="1" applyBorder="1" applyAlignment="1">
      <alignment horizontal="center"/>
    </xf>
    <xf numFmtId="4" fontId="46" fillId="0" borderId="227" xfId="0" applyNumberFormat="1" applyFont="1" applyBorder="1" applyAlignment="1">
      <alignment horizontal="center" vertical="center"/>
    </xf>
    <xf numFmtId="3" fontId="47" fillId="0" borderId="228" xfId="0" applyNumberFormat="1" applyFont="1" applyBorder="1" applyAlignment="1">
      <alignment horizontal="center" wrapText="1"/>
    </xf>
    <xf numFmtId="4" fontId="46" fillId="0" borderId="229" xfId="0" applyNumberFormat="1" applyFont="1" applyBorder="1" applyAlignment="1">
      <alignment/>
    </xf>
    <xf numFmtId="3" fontId="47" fillId="0" borderId="230" xfId="0" applyNumberFormat="1" applyFont="1" applyBorder="1" applyAlignment="1">
      <alignment horizontal="center" vertical="center" wrapText="1"/>
    </xf>
    <xf numFmtId="4" fontId="46" fillId="0" borderId="231" xfId="0" applyNumberFormat="1" applyFont="1" applyBorder="1" applyAlignment="1">
      <alignment horizontal="center" vertical="top"/>
    </xf>
    <xf numFmtId="4" fontId="46" fillId="0" borderId="210" xfId="0" applyNumberFormat="1" applyFont="1" applyBorder="1" applyAlignment="1">
      <alignment/>
    </xf>
    <xf numFmtId="3" fontId="47" fillId="0" borderId="228" xfId="0" applyNumberFormat="1" applyFont="1" applyBorder="1" applyAlignment="1">
      <alignment horizontal="right" wrapText="1"/>
    </xf>
    <xf numFmtId="1" fontId="0" fillId="44" borderId="56" xfId="0" applyNumberFormat="1" applyFill="1" applyBorder="1" applyAlignment="1">
      <alignment horizontal="center"/>
    </xf>
    <xf numFmtId="164" fontId="26" fillId="44" borderId="0" xfId="0" applyNumberFormat="1" applyFont="1" applyFill="1" applyAlignment="1">
      <alignment horizontal="center"/>
    </xf>
    <xf numFmtId="2" fontId="25" fillId="44" borderId="57" xfId="0" applyNumberFormat="1" applyFont="1" applyFill="1" applyBorder="1" applyAlignment="1">
      <alignment horizontal="center"/>
    </xf>
    <xf numFmtId="180" fontId="0" fillId="44" borderId="58" xfId="0" applyNumberFormat="1" applyFill="1" applyBorder="1" applyAlignment="1">
      <alignment/>
    </xf>
    <xf numFmtId="167" fontId="0" fillId="44" borderId="58" xfId="0" applyNumberFormat="1" applyFill="1" applyBorder="1" applyAlignment="1">
      <alignment/>
    </xf>
    <xf numFmtId="10" fontId="0" fillId="44" borderId="0" xfId="59" applyNumberFormat="1" applyFont="1" applyFill="1" applyBorder="1" applyAlignment="1" applyProtection="1">
      <alignment/>
      <protection/>
    </xf>
    <xf numFmtId="1" fontId="0" fillId="44" borderId="0" xfId="0" applyNumberFormat="1" applyFill="1" applyAlignment="1">
      <alignment horizontal="center"/>
    </xf>
    <xf numFmtId="164" fontId="26" fillId="44" borderId="57" xfId="0" applyNumberFormat="1" applyFont="1" applyFill="1" applyBorder="1" applyAlignment="1">
      <alignment horizontal="center"/>
    </xf>
    <xf numFmtId="180" fontId="0" fillId="44" borderId="57" xfId="0" applyNumberFormat="1" applyFill="1" applyBorder="1" applyAlignment="1">
      <alignment/>
    </xf>
    <xf numFmtId="167" fontId="0" fillId="44" borderId="57" xfId="0" applyNumberFormat="1" applyFill="1" applyBorder="1" applyAlignment="1">
      <alignment/>
    </xf>
    <xf numFmtId="10" fontId="0" fillId="44" borderId="57" xfId="59" applyNumberFormat="1" applyFont="1" applyFill="1" applyBorder="1" applyAlignment="1" applyProtection="1">
      <alignment/>
      <protection/>
    </xf>
    <xf numFmtId="1" fontId="0" fillId="0" borderId="232" xfId="0" applyNumberFormat="1" applyBorder="1" applyAlignment="1">
      <alignment horizontal="center"/>
    </xf>
    <xf numFmtId="164" fontId="26" fillId="0" borderId="232" xfId="0" applyNumberFormat="1" applyFont="1" applyBorder="1" applyAlignment="1">
      <alignment horizontal="center"/>
    </xf>
    <xf numFmtId="2" fontId="25" fillId="0" borderId="232" xfId="0" applyNumberFormat="1" applyFont="1" applyBorder="1" applyAlignment="1">
      <alignment horizontal="center"/>
    </xf>
    <xf numFmtId="180" fontId="0" fillId="0" borderId="232" xfId="0" applyNumberFormat="1" applyBorder="1" applyAlignment="1">
      <alignment/>
    </xf>
    <xf numFmtId="167" fontId="0" fillId="0" borderId="232" xfId="0" applyNumberFormat="1" applyBorder="1" applyAlignment="1">
      <alignment/>
    </xf>
    <xf numFmtId="10" fontId="0" fillId="0" borderId="232" xfId="59" applyNumberFormat="1" applyFont="1" applyFill="1" applyBorder="1" applyAlignment="1" applyProtection="1">
      <alignment/>
      <protection/>
    </xf>
    <xf numFmtId="2" fontId="0" fillId="37" borderId="233" xfId="0" applyNumberFormat="1" applyFont="1" applyFill="1" applyBorder="1" applyAlignment="1">
      <alignment horizontal="center"/>
    </xf>
    <xf numFmtId="164" fontId="0" fillId="37" borderId="234" xfId="0" applyNumberFormat="1" applyFont="1" applyFill="1" applyBorder="1" applyAlignment="1">
      <alignment horizontal="center"/>
    </xf>
    <xf numFmtId="164" fontId="26" fillId="37" borderId="234" xfId="0" applyNumberFormat="1" applyFont="1" applyFill="1" applyBorder="1" applyAlignment="1">
      <alignment horizontal="center"/>
    </xf>
    <xf numFmtId="180" fontId="0" fillId="37" borderId="234" xfId="0" applyNumberFormat="1" applyFont="1" applyFill="1" applyBorder="1" applyAlignment="1">
      <alignment/>
    </xf>
    <xf numFmtId="167" fontId="0" fillId="37" borderId="234" xfId="0" applyNumberFormat="1" applyFont="1" applyFill="1" applyBorder="1" applyAlignment="1">
      <alignment/>
    </xf>
    <xf numFmtId="10" fontId="0" fillId="37" borderId="235" xfId="59" applyNumberFormat="1" applyFont="1" applyFill="1" applyBorder="1" applyAlignment="1" applyProtection="1">
      <alignment/>
      <protection/>
    </xf>
    <xf numFmtId="0" fontId="0" fillId="0" borderId="233" xfId="0" applyBorder="1" applyAlignment="1">
      <alignment/>
    </xf>
    <xf numFmtId="0" fontId="0" fillId="0" borderId="236" xfId="0" applyBorder="1" applyAlignment="1">
      <alignment/>
    </xf>
    <xf numFmtId="2" fontId="27" fillId="45" borderId="237" xfId="0" applyNumberFormat="1" applyFont="1" applyFill="1" applyBorder="1" applyAlignment="1">
      <alignment horizontal="center"/>
    </xf>
    <xf numFmtId="164" fontId="27" fillId="45" borderId="238" xfId="0" applyNumberFormat="1" applyFont="1" applyFill="1" applyBorder="1" applyAlignment="1">
      <alignment horizontal="center"/>
    </xf>
    <xf numFmtId="164" fontId="28" fillId="45" borderId="238" xfId="0" applyNumberFormat="1" applyFont="1" applyFill="1" applyBorder="1" applyAlignment="1">
      <alignment horizontal="center"/>
    </xf>
    <xf numFmtId="180" fontId="27" fillId="45" borderId="238" xfId="0" applyNumberFormat="1" applyFont="1" applyFill="1" applyBorder="1" applyAlignment="1">
      <alignment/>
    </xf>
    <xf numFmtId="167" fontId="27" fillId="45" borderId="238" xfId="0" applyNumberFormat="1" applyFont="1" applyFill="1" applyBorder="1" applyAlignment="1">
      <alignment/>
    </xf>
    <xf numFmtId="10" fontId="27" fillId="45" borderId="239" xfId="59" applyNumberFormat="1" applyFont="1" applyFill="1" applyBorder="1" applyAlignment="1" applyProtection="1">
      <alignment/>
      <protection/>
    </xf>
    <xf numFmtId="0" fontId="22" fillId="45" borderId="237" xfId="0" applyFont="1" applyFill="1" applyBorder="1" applyAlignment="1">
      <alignment/>
    </xf>
    <xf numFmtId="0" fontId="0" fillId="33" borderId="240" xfId="0" applyFill="1" applyBorder="1" applyAlignment="1">
      <alignment/>
    </xf>
    <xf numFmtId="0" fontId="0" fillId="0" borderId="241" xfId="0" applyBorder="1" applyAlignment="1">
      <alignment/>
    </xf>
    <xf numFmtId="0" fontId="0" fillId="0" borderId="242" xfId="0" applyBorder="1" applyAlignment="1">
      <alignment/>
    </xf>
    <xf numFmtId="0" fontId="0" fillId="33" borderId="243" xfId="0" applyFill="1" applyBorder="1" applyAlignment="1">
      <alignment/>
    </xf>
    <xf numFmtId="0" fontId="0" fillId="45" borderId="236" xfId="0" applyFill="1" applyBorder="1" applyAlignment="1">
      <alignment/>
    </xf>
    <xf numFmtId="1" fontId="27" fillId="45" borderId="233" xfId="0" applyNumberFormat="1" applyFont="1" applyFill="1" applyBorder="1" applyAlignment="1">
      <alignment horizontal="center"/>
    </xf>
    <xf numFmtId="164" fontId="28" fillId="45" borderId="236" xfId="0" applyNumberFormat="1" applyFont="1" applyFill="1" applyBorder="1" applyAlignment="1">
      <alignment horizontal="center"/>
    </xf>
    <xf numFmtId="2" fontId="28" fillId="45" borderId="236" xfId="0" applyNumberFormat="1" applyFont="1" applyFill="1" applyBorder="1" applyAlignment="1">
      <alignment horizontal="center"/>
    </xf>
    <xf numFmtId="180" fontId="5" fillId="45" borderId="236" xfId="0" applyNumberFormat="1" applyFont="1" applyFill="1" applyBorder="1" applyAlignment="1">
      <alignment/>
    </xf>
    <xf numFmtId="167" fontId="27" fillId="45" borderId="236" xfId="0" applyNumberFormat="1" applyFont="1" applyFill="1" applyBorder="1" applyAlignment="1">
      <alignment/>
    </xf>
    <xf numFmtId="10" fontId="27" fillId="45" borderId="244" xfId="59" applyNumberFormat="1" applyFont="1" applyFill="1" applyBorder="1" applyAlignment="1" applyProtection="1">
      <alignment/>
      <protection/>
    </xf>
    <xf numFmtId="0" fontId="0" fillId="0" borderId="244" xfId="0" applyBorder="1" applyAlignment="1">
      <alignment/>
    </xf>
    <xf numFmtId="1" fontId="0" fillId="38" borderId="233" xfId="0" applyNumberFormat="1" applyFill="1" applyBorder="1" applyAlignment="1">
      <alignment horizontal="center"/>
    </xf>
    <xf numFmtId="164" fontId="26" fillId="38" borderId="234" xfId="0" applyNumberFormat="1" applyFont="1" applyFill="1" applyBorder="1" applyAlignment="1">
      <alignment horizontal="center"/>
    </xf>
    <xf numFmtId="2" fontId="25" fillId="38" borderId="234" xfId="0" applyNumberFormat="1" applyFont="1" applyFill="1" applyBorder="1" applyAlignment="1">
      <alignment horizontal="center"/>
    </xf>
    <xf numFmtId="180" fontId="0" fillId="38" borderId="234" xfId="0" applyNumberFormat="1" applyFill="1" applyBorder="1" applyAlignment="1">
      <alignment/>
    </xf>
    <xf numFmtId="167" fontId="0" fillId="38" borderId="234" xfId="0" applyNumberFormat="1" applyFill="1" applyBorder="1" applyAlignment="1">
      <alignment/>
    </xf>
    <xf numFmtId="10" fontId="0" fillId="38" borderId="235" xfId="59" applyNumberFormat="1" applyFont="1" applyFill="1" applyBorder="1" applyAlignment="1" applyProtection="1">
      <alignment/>
      <protection/>
    </xf>
    <xf numFmtId="2" fontId="0" fillId="0" borderId="245" xfId="0" applyNumberFormat="1" applyFont="1" applyBorder="1" applyAlignment="1">
      <alignment horizontal="center"/>
    </xf>
    <xf numFmtId="164" fontId="0" fillId="0" borderId="246" xfId="0" applyNumberFormat="1" applyFont="1" applyBorder="1" applyAlignment="1">
      <alignment horizontal="center"/>
    </xf>
    <xf numFmtId="164" fontId="26" fillId="0" borderId="246" xfId="0" applyNumberFormat="1" applyFont="1" applyBorder="1" applyAlignment="1">
      <alignment horizontal="center"/>
    </xf>
    <xf numFmtId="180" fontId="0" fillId="0" borderId="246" xfId="0" applyNumberFormat="1" applyFont="1" applyBorder="1" applyAlignment="1">
      <alignment/>
    </xf>
    <xf numFmtId="167" fontId="0" fillId="0" borderId="246" xfId="0" applyNumberFormat="1" applyFont="1" applyBorder="1" applyAlignment="1">
      <alignment/>
    </xf>
    <xf numFmtId="10" fontId="0" fillId="0" borderId="247" xfId="59" applyNumberFormat="1" applyFont="1" applyFill="1" applyBorder="1" applyAlignment="1" applyProtection="1">
      <alignment/>
      <protection/>
    </xf>
    <xf numFmtId="0" fontId="0" fillId="0" borderId="246" xfId="0" applyBorder="1" applyAlignment="1">
      <alignment/>
    </xf>
    <xf numFmtId="0" fontId="0" fillId="0" borderId="248" xfId="0" applyBorder="1" applyAlignment="1">
      <alignment/>
    </xf>
    <xf numFmtId="2" fontId="27" fillId="46" borderId="249" xfId="0" applyNumberFormat="1" applyFont="1" applyFill="1" applyBorder="1" applyAlignment="1">
      <alignment horizontal="center"/>
    </xf>
    <xf numFmtId="164" fontId="27" fillId="46" borderId="250" xfId="0" applyNumberFormat="1" applyFont="1" applyFill="1" applyBorder="1" applyAlignment="1">
      <alignment horizontal="center"/>
    </xf>
    <xf numFmtId="164" fontId="28" fillId="46" borderId="250" xfId="0" applyNumberFormat="1" applyFont="1" applyFill="1" applyBorder="1" applyAlignment="1">
      <alignment horizontal="center"/>
    </xf>
    <xf numFmtId="180" fontId="27" fillId="46" borderId="250" xfId="0" applyNumberFormat="1" applyFont="1" applyFill="1" applyBorder="1" applyAlignment="1">
      <alignment/>
    </xf>
    <xf numFmtId="167" fontId="27" fillId="46" borderId="250" xfId="0" applyNumberFormat="1" applyFont="1" applyFill="1" applyBorder="1" applyAlignment="1">
      <alignment/>
    </xf>
    <xf numFmtId="10" fontId="27" fillId="46" borderId="251" xfId="59" applyNumberFormat="1" applyFont="1" applyFill="1" applyBorder="1" applyAlignment="1" applyProtection="1">
      <alignment/>
      <protection/>
    </xf>
    <xf numFmtId="10" fontId="5" fillId="46" borderId="249" xfId="59" applyNumberFormat="1" applyFont="1" applyFill="1" applyBorder="1" applyAlignment="1" applyProtection="1">
      <alignment/>
      <protection/>
    </xf>
    <xf numFmtId="167" fontId="5" fillId="46" borderId="252" xfId="0" applyNumberFormat="1" applyFont="1" applyFill="1" applyBorder="1" applyAlignment="1">
      <alignment/>
    </xf>
    <xf numFmtId="0" fontId="0" fillId="0" borderId="253" xfId="0" applyBorder="1" applyAlignment="1">
      <alignment/>
    </xf>
    <xf numFmtId="0" fontId="0" fillId="0" borderId="254" xfId="0" applyBorder="1" applyAlignment="1">
      <alignment/>
    </xf>
    <xf numFmtId="164" fontId="28" fillId="33" borderId="254" xfId="0" applyNumberFormat="1" applyFont="1" applyFill="1" applyBorder="1" applyAlignment="1">
      <alignment horizontal="center"/>
    </xf>
    <xf numFmtId="164" fontId="28" fillId="33" borderId="255" xfId="0" applyNumberFormat="1" applyFont="1" applyFill="1" applyBorder="1" applyAlignment="1">
      <alignment horizontal="center"/>
    </xf>
    <xf numFmtId="164" fontId="28" fillId="47" borderId="256" xfId="0" applyNumberFormat="1" applyFont="1" applyFill="1" applyBorder="1" applyAlignment="1">
      <alignment horizontal="center"/>
    </xf>
    <xf numFmtId="1" fontId="27" fillId="47" borderId="257" xfId="0" applyNumberFormat="1" applyFont="1" applyFill="1" applyBorder="1" applyAlignment="1">
      <alignment horizontal="center"/>
    </xf>
    <xf numFmtId="164" fontId="28" fillId="47" borderId="258" xfId="0" applyNumberFormat="1" applyFont="1" applyFill="1" applyBorder="1" applyAlignment="1">
      <alignment horizontal="center"/>
    </xf>
    <xf numFmtId="2" fontId="28" fillId="47" borderId="258" xfId="0" applyNumberFormat="1" applyFont="1" applyFill="1" applyBorder="1" applyAlignment="1">
      <alignment horizontal="center"/>
    </xf>
    <xf numFmtId="180" fontId="27" fillId="47" borderId="258" xfId="0" applyNumberFormat="1" applyFont="1" applyFill="1" applyBorder="1" applyAlignment="1">
      <alignment/>
    </xf>
    <xf numFmtId="167" fontId="27" fillId="47" borderId="258" xfId="0" applyNumberFormat="1" applyFont="1" applyFill="1" applyBorder="1" applyAlignment="1">
      <alignment/>
    </xf>
    <xf numFmtId="10" fontId="27" fillId="47" borderId="259" xfId="59" applyNumberFormat="1" applyFont="1" applyFill="1" applyBorder="1" applyAlignment="1" applyProtection="1">
      <alignment/>
      <protection/>
    </xf>
    <xf numFmtId="0" fontId="0" fillId="0" borderId="247" xfId="0" applyBorder="1" applyAlignment="1">
      <alignment/>
    </xf>
    <xf numFmtId="1" fontId="0" fillId="0" borderId="245" xfId="0" applyNumberFormat="1" applyBorder="1" applyAlignment="1">
      <alignment horizontal="center"/>
    </xf>
    <xf numFmtId="2" fontId="25" fillId="0" borderId="246" xfId="0" applyNumberFormat="1" applyFont="1" applyBorder="1" applyAlignment="1">
      <alignment horizontal="center"/>
    </xf>
    <xf numFmtId="180" fontId="0" fillId="0" borderId="246" xfId="0" applyNumberFormat="1" applyBorder="1" applyAlignment="1">
      <alignment/>
    </xf>
    <xf numFmtId="167" fontId="0" fillId="0" borderId="246" xfId="0" applyNumberFormat="1" applyBorder="1" applyAlignment="1">
      <alignment/>
    </xf>
    <xf numFmtId="0" fontId="0" fillId="0" borderId="245" xfId="0" applyBorder="1" applyAlignment="1">
      <alignment/>
    </xf>
    <xf numFmtId="0" fontId="0" fillId="0" borderId="260" xfId="0" applyBorder="1" applyAlignment="1">
      <alignment/>
    </xf>
    <xf numFmtId="167" fontId="27" fillId="47" borderId="261" xfId="0" applyNumberFormat="1" applyFont="1" applyFill="1" applyBorder="1" applyAlignment="1">
      <alignment/>
    </xf>
    <xf numFmtId="164" fontId="28" fillId="47" borderId="262" xfId="0" applyNumberFormat="1" applyFont="1" applyFill="1" applyBorder="1" applyAlignment="1">
      <alignment horizontal="center"/>
    </xf>
    <xf numFmtId="180" fontId="27" fillId="45" borderId="236" xfId="0" applyNumberFormat="1" applyFont="1" applyFill="1" applyBorder="1" applyAlignment="1">
      <alignment/>
    </xf>
    <xf numFmtId="1" fontId="27" fillId="48" borderId="233" xfId="0" applyNumberFormat="1" applyFont="1" applyFill="1" applyBorder="1" applyAlignment="1">
      <alignment horizontal="center"/>
    </xf>
    <xf numFmtId="1" fontId="27" fillId="48" borderId="236" xfId="0" applyNumberFormat="1" applyFont="1" applyFill="1" applyBorder="1" applyAlignment="1">
      <alignment horizontal="center"/>
    </xf>
    <xf numFmtId="0" fontId="0" fillId="0" borderId="263" xfId="0" applyBorder="1" applyAlignment="1">
      <alignment/>
    </xf>
    <xf numFmtId="0" fontId="8" fillId="34" borderId="264" xfId="0" applyFont="1" applyFill="1" applyBorder="1" applyAlignment="1">
      <alignment horizontal="center" vertical="top" wrapText="1"/>
    </xf>
    <xf numFmtId="0" fontId="8" fillId="34" borderId="265" xfId="0" applyFont="1" applyFill="1" applyBorder="1" applyAlignment="1">
      <alignment horizontal="center" vertical="top" wrapText="1"/>
    </xf>
    <xf numFmtId="0" fontId="8" fillId="34" borderId="266" xfId="0" applyFont="1" applyFill="1" applyBorder="1" applyAlignment="1">
      <alignment horizontal="center" vertical="top" wrapText="1"/>
    </xf>
    <xf numFmtId="0" fontId="14" fillId="49" borderId="265" xfId="0" applyFont="1" applyFill="1" applyBorder="1" applyAlignment="1">
      <alignment horizontal="left" wrapText="1" indent="1"/>
    </xf>
    <xf numFmtId="166" fontId="9" fillId="48" borderId="267" xfId="0" applyNumberFormat="1" applyFont="1" applyFill="1" applyBorder="1" applyAlignment="1">
      <alignment horizontal="right" wrapText="1" indent="1"/>
    </xf>
    <xf numFmtId="166" fontId="9" fillId="48" borderId="19" xfId="0" applyNumberFormat="1" applyFont="1" applyFill="1" applyBorder="1" applyAlignment="1">
      <alignment vertical="center" wrapText="1"/>
    </xf>
    <xf numFmtId="164" fontId="9" fillId="48" borderId="19" xfId="0" applyNumberFormat="1" applyFont="1" applyFill="1" applyBorder="1" applyAlignment="1">
      <alignment horizontal="right" vertical="center" wrapText="1" indent="2"/>
    </xf>
    <xf numFmtId="171" fontId="9" fillId="36" borderId="20" xfId="0" applyNumberFormat="1" applyFont="1" applyFill="1" applyBorder="1" applyAlignment="1">
      <alignment horizontal="center" wrapText="1"/>
    </xf>
    <xf numFmtId="171" fontId="9" fillId="36" borderId="39" xfId="42" applyNumberFormat="1" applyFont="1" applyFill="1" applyBorder="1" applyAlignment="1" applyProtection="1">
      <alignment horizontal="center" wrapText="1"/>
      <protection/>
    </xf>
    <xf numFmtId="171" fontId="9" fillId="36" borderId="42" xfId="42" applyNumberFormat="1" applyFont="1" applyFill="1" applyBorder="1" applyAlignment="1" applyProtection="1">
      <alignment horizontal="center" wrapText="1"/>
      <protection/>
    </xf>
    <xf numFmtId="173" fontId="57" fillId="39" borderId="268" xfId="42" applyNumberFormat="1" applyFont="1" applyFill="1" applyBorder="1" applyAlignment="1" applyProtection="1">
      <alignment horizontal="center" vertical="center" wrapText="1"/>
      <protection/>
    </xf>
    <xf numFmtId="173" fontId="143" fillId="39" borderId="138" xfId="42" applyNumberFormat="1" applyFont="1" applyFill="1" applyBorder="1" applyAlignment="1" applyProtection="1">
      <alignment horizontal="center" vertical="center" wrapText="1"/>
      <protection/>
    </xf>
    <xf numFmtId="0" fontId="16" fillId="0" borderId="0" xfId="53" applyNumberFormat="1" applyFill="1" applyBorder="1" applyAlignment="1" applyProtection="1">
      <alignment/>
      <protection/>
    </xf>
    <xf numFmtId="0" fontId="10" fillId="36" borderId="269" xfId="0" applyFont="1" applyFill="1" applyBorder="1" applyAlignment="1">
      <alignment horizontal="center" vertical="center" wrapText="1"/>
    </xf>
    <xf numFmtId="0" fontId="10" fillId="36" borderId="145" xfId="0" applyFont="1" applyFill="1" applyBorder="1" applyAlignment="1">
      <alignment horizontal="center" vertical="center" wrapText="1"/>
    </xf>
    <xf numFmtId="0" fontId="10" fillId="36" borderId="11" xfId="0" applyFont="1" applyFill="1" applyBorder="1" applyAlignment="1">
      <alignment horizontal="center" vertical="center" wrapText="1"/>
    </xf>
    <xf numFmtId="0" fontId="10" fillId="36" borderId="19" xfId="0" applyFont="1" applyFill="1" applyBorder="1" applyAlignment="1">
      <alignment horizontal="center" vertical="center" wrapText="1"/>
    </xf>
    <xf numFmtId="0" fontId="10" fillId="33" borderId="0" xfId="0" applyFont="1" applyFill="1" applyBorder="1" applyAlignment="1" quotePrefix="1">
      <alignment horizontal="right" vertical="top" wrapText="1"/>
    </xf>
    <xf numFmtId="0" fontId="10" fillId="36" borderId="22" xfId="0" applyFont="1" applyFill="1" applyBorder="1" applyAlignment="1">
      <alignment horizontal="center" vertical="center" wrapText="1"/>
    </xf>
    <xf numFmtId="0" fontId="10" fillId="36" borderId="25" xfId="0" applyFont="1" applyFill="1" applyBorder="1" applyAlignment="1">
      <alignment horizontal="center" vertical="center" wrapText="1"/>
    </xf>
    <xf numFmtId="0" fontId="10" fillId="36" borderId="41" xfId="0" applyFont="1" applyFill="1" applyBorder="1" applyAlignment="1">
      <alignment horizontal="center" vertical="center" wrapText="1"/>
    </xf>
    <xf numFmtId="0" fontId="10" fillId="36" borderId="18" xfId="0" applyFont="1" applyFill="1" applyBorder="1" applyAlignment="1">
      <alignment horizontal="center" vertical="center" wrapText="1"/>
    </xf>
    <xf numFmtId="165" fontId="9" fillId="33" borderId="34" xfId="0" applyNumberFormat="1" applyFont="1" applyFill="1" applyBorder="1" applyAlignment="1">
      <alignment horizontal="right" vertical="center" wrapText="1"/>
    </xf>
    <xf numFmtId="165" fontId="9" fillId="33" borderId="25" xfId="0" applyNumberFormat="1" applyFont="1" applyFill="1" applyBorder="1" applyAlignment="1">
      <alignment horizontal="right" vertical="center" wrapText="1"/>
    </xf>
    <xf numFmtId="1" fontId="9" fillId="33" borderId="20" xfId="0" applyNumberFormat="1" applyFont="1" applyFill="1" applyBorder="1" applyAlignment="1">
      <alignment horizontal="right" vertical="center" wrapText="1"/>
    </xf>
    <xf numFmtId="2" fontId="9" fillId="33" borderId="20" xfId="0" applyNumberFormat="1" applyFont="1" applyFill="1" applyBorder="1" applyAlignment="1">
      <alignment horizontal="right" vertical="center" wrapText="1"/>
    </xf>
    <xf numFmtId="3" fontId="9" fillId="33" borderId="34" xfId="0" applyNumberFormat="1" applyFont="1" applyFill="1" applyBorder="1" applyAlignment="1">
      <alignment horizontal="right" vertical="center" wrapText="1"/>
    </xf>
    <xf numFmtId="3" fontId="9" fillId="33" borderId="25" xfId="0" applyNumberFormat="1" applyFont="1" applyFill="1" applyBorder="1" applyAlignment="1">
      <alignment horizontal="right" vertical="center" wrapText="1"/>
    </xf>
    <xf numFmtId="0" fontId="9" fillId="33" borderId="34" xfId="0" applyFont="1" applyFill="1" applyBorder="1" applyAlignment="1">
      <alignment horizontal="center" vertical="center" wrapText="1"/>
    </xf>
    <xf numFmtId="1" fontId="9" fillId="33" borderId="23" xfId="0" applyNumberFormat="1" applyFont="1" applyFill="1" applyBorder="1" applyAlignment="1">
      <alignment horizontal="right" vertical="center" wrapText="1"/>
    </xf>
    <xf numFmtId="2" fontId="9" fillId="33" borderId="23" xfId="0" applyNumberFormat="1" applyFont="1" applyFill="1" applyBorder="1" applyAlignment="1">
      <alignment horizontal="right" vertical="center" wrapText="1"/>
    </xf>
    <xf numFmtId="3" fontId="9" fillId="33" borderId="33" xfId="0" applyNumberFormat="1" applyFont="1" applyFill="1" applyBorder="1" applyAlignment="1">
      <alignment horizontal="right" vertical="center" wrapText="1"/>
    </xf>
    <xf numFmtId="3" fontId="9" fillId="33" borderId="13" xfId="0" applyNumberFormat="1" applyFont="1" applyFill="1" applyBorder="1" applyAlignment="1">
      <alignment horizontal="right" vertical="center" wrapText="1"/>
    </xf>
    <xf numFmtId="0" fontId="9" fillId="33" borderId="33" xfId="0" applyFont="1" applyFill="1" applyBorder="1" applyAlignment="1">
      <alignment horizontal="center" vertical="center" wrapText="1"/>
    </xf>
    <xf numFmtId="1" fontId="9" fillId="33" borderId="26" xfId="0" applyNumberFormat="1" applyFont="1" applyFill="1" applyBorder="1" applyAlignment="1">
      <alignment horizontal="right" vertical="center" wrapText="1"/>
    </xf>
    <xf numFmtId="2" fontId="9" fillId="33" borderId="26" xfId="0" applyNumberFormat="1" applyFont="1" applyFill="1" applyBorder="1" applyAlignment="1">
      <alignment horizontal="right" vertical="center" wrapText="1"/>
    </xf>
    <xf numFmtId="3" fontId="9" fillId="50" borderId="17" xfId="0" applyNumberFormat="1" applyFont="1" applyFill="1" applyBorder="1" applyAlignment="1">
      <alignment horizontal="right" vertical="center" wrapText="1"/>
    </xf>
    <xf numFmtId="3" fontId="9" fillId="50" borderId="18" xfId="0" applyNumberFormat="1" applyFont="1" applyFill="1" applyBorder="1" applyAlignment="1">
      <alignment horizontal="right" vertical="center" wrapText="1"/>
    </xf>
    <xf numFmtId="165" fontId="9" fillId="33" borderId="34" xfId="0" applyNumberFormat="1" applyFont="1" applyFill="1" applyBorder="1" applyAlignment="1">
      <alignment horizontal="center" vertical="center" wrapText="1"/>
    </xf>
    <xf numFmtId="165" fontId="9" fillId="33" borderId="25" xfId="0" applyNumberFormat="1" applyFont="1" applyFill="1" applyBorder="1" applyAlignment="1">
      <alignment horizontal="center" vertical="center" wrapText="1"/>
    </xf>
    <xf numFmtId="3" fontId="9" fillId="33" borderId="34" xfId="0" applyNumberFormat="1" applyFont="1" applyFill="1" applyBorder="1" applyAlignment="1">
      <alignment horizontal="center" vertical="center" wrapText="1"/>
    </xf>
    <xf numFmtId="3" fontId="9" fillId="33" borderId="25" xfId="0" applyNumberFormat="1" applyFont="1" applyFill="1" applyBorder="1" applyAlignment="1">
      <alignment horizontal="center" vertical="center" wrapText="1"/>
    </xf>
    <xf numFmtId="3" fontId="9" fillId="33" borderId="33" xfId="0" applyNumberFormat="1" applyFont="1" applyFill="1" applyBorder="1" applyAlignment="1">
      <alignment horizontal="center" vertical="center" wrapText="1"/>
    </xf>
    <xf numFmtId="3" fontId="9" fillId="33" borderId="13" xfId="0" applyNumberFormat="1" applyFont="1" applyFill="1" applyBorder="1" applyAlignment="1">
      <alignment horizontal="center" vertical="center" wrapText="1"/>
    </xf>
    <xf numFmtId="3" fontId="9" fillId="50" borderId="17" xfId="0" applyNumberFormat="1" applyFont="1" applyFill="1" applyBorder="1" applyAlignment="1">
      <alignment horizontal="center" vertical="center" wrapText="1"/>
    </xf>
    <xf numFmtId="3" fontId="9" fillId="50" borderId="18" xfId="0" applyNumberFormat="1" applyFont="1" applyFill="1" applyBorder="1" applyAlignment="1">
      <alignment horizontal="center" vertical="center" wrapText="1"/>
    </xf>
    <xf numFmtId="0" fontId="9" fillId="33" borderId="37" xfId="0" applyFont="1" applyFill="1" applyBorder="1" applyAlignment="1">
      <alignment horizontal="right" vertical="center" wrapText="1"/>
    </xf>
    <xf numFmtId="0" fontId="9" fillId="33" borderId="34" xfId="0" applyFont="1" applyFill="1" applyBorder="1" applyAlignment="1">
      <alignment horizontal="right" vertical="center" wrapText="1"/>
    </xf>
    <xf numFmtId="0" fontId="9" fillId="33" borderId="33" xfId="0" applyFont="1" applyFill="1" applyBorder="1" applyAlignment="1">
      <alignment horizontal="right" vertical="center" wrapText="1"/>
    </xf>
    <xf numFmtId="0" fontId="9" fillId="33" borderId="20" xfId="0" applyFont="1" applyFill="1" applyBorder="1" applyAlignment="1">
      <alignment horizontal="center" vertical="center" wrapText="1"/>
    </xf>
    <xf numFmtId="164" fontId="9" fillId="33" borderId="37" xfId="0" applyNumberFormat="1" applyFont="1" applyFill="1" applyBorder="1" applyAlignment="1">
      <alignment horizontal="center" vertical="center" wrapText="1"/>
    </xf>
    <xf numFmtId="164" fontId="9" fillId="33" borderId="28" xfId="0" applyNumberFormat="1"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9" xfId="0" applyFont="1" applyFill="1" applyBorder="1" applyAlignment="1">
      <alignment horizontal="center" vertical="center" wrapText="1"/>
    </xf>
    <xf numFmtId="166" fontId="11" fillId="33" borderId="21" xfId="0" applyNumberFormat="1" applyFont="1" applyFill="1" applyBorder="1" applyAlignment="1">
      <alignment horizontal="center" vertical="center" wrapText="1"/>
    </xf>
    <xf numFmtId="166" fontId="11" fillId="33" borderId="28" xfId="0" applyNumberFormat="1" applyFont="1" applyFill="1" applyBorder="1" applyAlignment="1">
      <alignment horizontal="center" vertical="center" wrapText="1"/>
    </xf>
    <xf numFmtId="169" fontId="11" fillId="33" borderId="28" xfId="0" applyNumberFormat="1" applyFont="1" applyFill="1" applyBorder="1" applyAlignment="1">
      <alignment horizontal="center" vertical="center" wrapText="1"/>
    </xf>
    <xf numFmtId="169" fontId="11" fillId="33" borderId="270" xfId="0" applyNumberFormat="1" applyFont="1" applyFill="1" applyBorder="1" applyAlignment="1">
      <alignment horizontal="center" vertical="center" wrapText="1"/>
    </xf>
    <xf numFmtId="0" fontId="0" fillId="35" borderId="22" xfId="0" applyFont="1" applyFill="1" applyBorder="1" applyAlignment="1">
      <alignment horizontal="left" vertical="center" wrapText="1"/>
    </xf>
    <xf numFmtId="166" fontId="12" fillId="33" borderId="24" xfId="0" applyNumberFormat="1" applyFont="1" applyFill="1" applyBorder="1" applyAlignment="1">
      <alignment horizontal="center" vertical="center" wrapText="1"/>
    </xf>
    <xf numFmtId="166" fontId="12" fillId="33" borderId="29" xfId="0" applyNumberFormat="1" applyFont="1" applyFill="1" applyBorder="1" applyAlignment="1">
      <alignment horizontal="center" vertical="center" wrapText="1"/>
    </xf>
    <xf numFmtId="169" fontId="12" fillId="33" borderId="29" xfId="0" applyNumberFormat="1" applyFont="1" applyFill="1" applyBorder="1" applyAlignment="1">
      <alignment horizontal="center" vertical="center" wrapText="1"/>
    </xf>
    <xf numFmtId="169" fontId="12" fillId="33" borderId="102" xfId="0" applyNumberFormat="1" applyFont="1" applyFill="1" applyBorder="1" applyAlignment="1">
      <alignment horizontal="center" vertical="center" wrapText="1"/>
    </xf>
    <xf numFmtId="166" fontId="9" fillId="33" borderId="24" xfId="0" applyNumberFormat="1" applyFont="1" applyFill="1" applyBorder="1" applyAlignment="1">
      <alignment horizontal="center" vertical="center" wrapText="1"/>
    </xf>
    <xf numFmtId="166" fontId="9" fillId="33" borderId="29" xfId="0" applyNumberFormat="1" applyFont="1" applyFill="1" applyBorder="1" applyAlignment="1">
      <alignment horizontal="center" vertical="center" wrapText="1"/>
    </xf>
    <xf numFmtId="169" fontId="9" fillId="33" borderId="29" xfId="0" applyNumberFormat="1" applyFont="1" applyFill="1" applyBorder="1" applyAlignment="1">
      <alignment horizontal="center" vertical="center" wrapText="1"/>
    </xf>
    <xf numFmtId="169" fontId="9" fillId="33" borderId="102" xfId="0" applyNumberFormat="1" applyFont="1" applyFill="1" applyBorder="1" applyAlignment="1">
      <alignment horizontal="center" vertical="center" wrapText="1"/>
    </xf>
    <xf numFmtId="166" fontId="11" fillId="33" borderId="24" xfId="0" applyNumberFormat="1" applyFont="1" applyFill="1" applyBorder="1" applyAlignment="1">
      <alignment horizontal="center" vertical="center" wrapText="1"/>
    </xf>
    <xf numFmtId="166" fontId="11" fillId="33" borderId="29" xfId="0" applyNumberFormat="1" applyFont="1" applyFill="1" applyBorder="1" applyAlignment="1">
      <alignment horizontal="center" vertical="center" wrapText="1"/>
    </xf>
    <xf numFmtId="169" fontId="11" fillId="33" borderId="29" xfId="0" applyNumberFormat="1" applyFont="1" applyFill="1" applyBorder="1" applyAlignment="1">
      <alignment horizontal="center" vertical="center" wrapText="1"/>
    </xf>
    <xf numFmtId="169" fontId="11" fillId="33" borderId="102" xfId="0" applyNumberFormat="1" applyFont="1" applyFill="1" applyBorder="1" applyAlignment="1">
      <alignment horizontal="center" vertical="center" wrapText="1"/>
    </xf>
    <xf numFmtId="0" fontId="0" fillId="35" borderId="25" xfId="0" applyFont="1" applyFill="1" applyBorder="1" applyAlignment="1">
      <alignment horizontal="left" vertical="center" wrapText="1"/>
    </xf>
    <xf numFmtId="166" fontId="11" fillId="33" borderId="30" xfId="0" applyNumberFormat="1" applyFont="1" applyFill="1" applyBorder="1" applyAlignment="1">
      <alignment horizontal="center" vertical="center" wrapText="1"/>
    </xf>
    <xf numFmtId="166" fontId="11" fillId="33" borderId="31" xfId="0" applyNumberFormat="1" applyFont="1" applyFill="1" applyBorder="1" applyAlignment="1">
      <alignment horizontal="center" vertical="center" wrapText="1"/>
    </xf>
    <xf numFmtId="169" fontId="11" fillId="33" borderId="31" xfId="0" applyNumberFormat="1" applyFont="1" applyFill="1" applyBorder="1" applyAlignment="1">
      <alignment horizontal="center" vertical="center" wrapText="1"/>
    </xf>
    <xf numFmtId="169" fontId="11" fillId="33" borderId="32" xfId="0" applyNumberFormat="1" applyFont="1" applyFill="1" applyBorder="1" applyAlignment="1">
      <alignment horizontal="center" vertical="center" wrapText="1"/>
    </xf>
    <xf numFmtId="0" fontId="0" fillId="35" borderId="13" xfId="0" applyFont="1" applyFill="1" applyBorder="1" applyAlignment="1">
      <alignment horizontal="left" vertical="center" wrapText="1"/>
    </xf>
    <xf numFmtId="164" fontId="13" fillId="51" borderId="18" xfId="0" applyNumberFormat="1" applyFont="1" applyFill="1" applyBorder="1" applyAlignment="1">
      <alignment vertical="center" wrapText="1"/>
    </xf>
    <xf numFmtId="3" fontId="25" fillId="0" borderId="78" xfId="0" applyNumberFormat="1" applyFont="1" applyBorder="1" applyAlignment="1">
      <alignment horizontal="center" vertical="center"/>
    </xf>
    <xf numFmtId="3" fontId="25" fillId="0" borderId="271" xfId="0" applyNumberFormat="1" applyFont="1" applyBorder="1" applyAlignment="1">
      <alignment horizontal="center" vertical="center"/>
    </xf>
    <xf numFmtId="0" fontId="45" fillId="38" borderId="272" xfId="0" applyFont="1" applyFill="1" applyBorder="1" applyAlignment="1">
      <alignment/>
    </xf>
    <xf numFmtId="0" fontId="0" fillId="38" borderId="273" xfId="0" applyFill="1" applyBorder="1" applyAlignment="1">
      <alignment/>
    </xf>
    <xf numFmtId="0" fontId="0" fillId="0" borderId="83" xfId="0" applyBorder="1" applyAlignment="1">
      <alignment vertical="top"/>
    </xf>
    <xf numFmtId="0" fontId="0" fillId="0" borderId="88" xfId="0" applyBorder="1" applyAlignment="1">
      <alignment vertical="top"/>
    </xf>
    <xf numFmtId="0" fontId="10" fillId="0" borderId="83" xfId="0" applyFont="1" applyBorder="1" applyAlignment="1">
      <alignment/>
    </xf>
    <xf numFmtId="0" fontId="0" fillId="0" borderId="274" xfId="0" applyBorder="1" applyAlignment="1">
      <alignment/>
    </xf>
    <xf numFmtId="0" fontId="0" fillId="0" borderId="275" xfId="0" applyBorder="1" applyAlignment="1">
      <alignment/>
    </xf>
    <xf numFmtId="0" fontId="10" fillId="0" borderId="112" xfId="0" applyFont="1" applyBorder="1" applyAlignment="1">
      <alignment/>
    </xf>
    <xf numFmtId="0" fontId="9" fillId="0" borderId="20" xfId="0" applyFont="1" applyBorder="1" applyAlignment="1">
      <alignment horizontal="right" indent="1"/>
    </xf>
    <xf numFmtId="0" fontId="9" fillId="0" borderId="39" xfId="0" applyFont="1" applyBorder="1" applyAlignment="1">
      <alignment horizontal="right" indent="1"/>
    </xf>
    <xf numFmtId="0" fontId="9" fillId="0" borderId="42" xfId="0" applyFont="1" applyBorder="1" applyAlignment="1">
      <alignment horizontal="right" indent="1"/>
    </xf>
    <xf numFmtId="0" fontId="10" fillId="0" borderId="116" xfId="0" applyFont="1" applyBorder="1" applyAlignment="1" quotePrefix="1">
      <alignment/>
    </xf>
    <xf numFmtId="0" fontId="0" fillId="0" borderId="276" xfId="0" applyBorder="1" applyAlignment="1">
      <alignment/>
    </xf>
    <xf numFmtId="2" fontId="44" fillId="0" borderId="274" xfId="0" applyNumberFormat="1" applyFont="1" applyBorder="1" applyAlignment="1" quotePrefix="1">
      <alignment horizontal="left" vertical="top"/>
    </xf>
    <xf numFmtId="0" fontId="0" fillId="0" borderId="277" xfId="0" applyBorder="1" applyAlignment="1">
      <alignment/>
    </xf>
    <xf numFmtId="173" fontId="9" fillId="4" borderId="88" xfId="42" applyNumberFormat="1" applyFont="1" applyFill="1" applyBorder="1" applyAlignment="1" applyProtection="1">
      <alignment/>
      <protection/>
    </xf>
    <xf numFmtId="173" fontId="9" fillId="4" borderId="117" xfId="42" applyNumberFormat="1" applyFont="1" applyFill="1" applyBorder="1" applyAlignment="1" applyProtection="1">
      <alignment/>
      <protection/>
    </xf>
    <xf numFmtId="3" fontId="144" fillId="0" borderId="133" xfId="0" applyNumberFormat="1" applyFont="1" applyBorder="1" applyAlignment="1">
      <alignment horizontal="center" vertical="center"/>
    </xf>
    <xf numFmtId="3" fontId="30" fillId="51" borderId="278" xfId="0" applyNumberFormat="1" applyFont="1" applyFill="1" applyBorder="1" applyAlignment="1">
      <alignment horizontal="right" vertical="center" wrapText="1"/>
    </xf>
    <xf numFmtId="3" fontId="30" fillId="51" borderId="129" xfId="0" applyNumberFormat="1" applyFont="1" applyFill="1" applyBorder="1" applyAlignment="1">
      <alignment horizontal="right" vertical="center" wrapText="1"/>
    </xf>
    <xf numFmtId="3" fontId="30" fillId="51" borderId="279" xfId="0" applyNumberFormat="1" applyFont="1" applyFill="1" applyBorder="1" applyAlignment="1">
      <alignment horizontal="right" vertical="center" wrapText="1"/>
    </xf>
    <xf numFmtId="3" fontId="30" fillId="51" borderId="280" xfId="0" applyNumberFormat="1" applyFont="1" applyFill="1" applyBorder="1" applyAlignment="1">
      <alignment horizontal="right" vertical="center" wrapText="1"/>
    </xf>
    <xf numFmtId="3" fontId="30" fillId="51" borderId="131" xfId="0" applyNumberFormat="1" applyFont="1" applyFill="1" applyBorder="1" applyAlignment="1">
      <alignment horizontal="right" vertical="center" wrapText="1"/>
    </xf>
    <xf numFmtId="4" fontId="30" fillId="52" borderId="110" xfId="0" applyNumberFormat="1" applyFont="1" applyFill="1" applyBorder="1" applyAlignment="1">
      <alignment horizontal="right" vertical="center" wrapText="1"/>
    </xf>
    <xf numFmtId="4" fontId="30" fillId="52" borderId="90" xfId="0" applyNumberFormat="1" applyFont="1" applyFill="1" applyBorder="1" applyAlignment="1">
      <alignment horizontal="right" vertical="center" wrapText="1"/>
    </xf>
    <xf numFmtId="165" fontId="9" fillId="33" borderId="39" xfId="42" applyNumberFormat="1" applyFont="1" applyFill="1" applyBorder="1" applyAlignment="1" applyProtection="1">
      <alignment horizontal="right" wrapText="1" indent="1"/>
      <protection/>
    </xf>
    <xf numFmtId="165" fontId="9" fillId="33" borderId="26" xfId="42" applyNumberFormat="1" applyFont="1" applyFill="1" applyBorder="1" applyAlignment="1" applyProtection="1">
      <alignment horizontal="right" wrapText="1" indent="1"/>
      <protection/>
    </xf>
    <xf numFmtId="0" fontId="8" fillId="34" borderId="12" xfId="0" applyFont="1" applyFill="1" applyBorder="1" applyAlignment="1">
      <alignment horizontal="center" vertical="center" wrapText="1"/>
    </xf>
    <xf numFmtId="171" fontId="9" fillId="33" borderId="269" xfId="0" applyNumberFormat="1" applyFont="1" applyFill="1" applyBorder="1" applyAlignment="1">
      <alignment horizontal="right" wrapText="1" indent="1"/>
    </xf>
    <xf numFmtId="171" fontId="9" fillId="33" borderId="281" xfId="42" applyNumberFormat="1" applyFont="1" applyFill="1" applyBorder="1" applyAlignment="1" applyProtection="1">
      <alignment horizontal="right" wrapText="1" indent="1"/>
      <protection/>
    </xf>
    <xf numFmtId="171" fontId="9" fillId="33" borderId="11" xfId="42" applyNumberFormat="1" applyFont="1" applyFill="1" applyBorder="1" applyAlignment="1" applyProtection="1">
      <alignment horizontal="right" wrapText="1" indent="1"/>
      <protection/>
    </xf>
    <xf numFmtId="0" fontId="10" fillId="0" borderId="83" xfId="0" applyFont="1" applyBorder="1" applyAlignment="1" quotePrefix="1">
      <alignment horizontal="left" vertical="top"/>
    </xf>
    <xf numFmtId="173" fontId="9" fillId="0" borderId="80" xfId="42" applyNumberFormat="1" applyFont="1" applyFill="1" applyBorder="1" applyAlignment="1" applyProtection="1">
      <alignment vertical="top" wrapText="1"/>
      <protection/>
    </xf>
    <xf numFmtId="173" fontId="9" fillId="0" borderId="116" xfId="42" applyNumberFormat="1" applyFont="1" applyFill="1" applyBorder="1" applyAlignment="1" applyProtection="1">
      <alignment vertical="top" wrapText="1"/>
      <protection/>
    </xf>
    <xf numFmtId="173" fontId="9" fillId="0" borderId="163" xfId="42" applyNumberFormat="1" applyFont="1" applyFill="1" applyBorder="1" applyAlignment="1" applyProtection="1">
      <alignment vertical="top" wrapText="1"/>
      <protection/>
    </xf>
    <xf numFmtId="173" fontId="9" fillId="0" borderId="112" xfId="42" applyNumberFormat="1" applyFont="1" applyFill="1" applyBorder="1" applyAlignment="1" applyProtection="1">
      <alignment vertical="top" wrapText="1"/>
      <protection/>
    </xf>
    <xf numFmtId="0" fontId="0" fillId="0" borderId="282" xfId="0" applyBorder="1" applyAlignment="1">
      <alignment vertical="center"/>
    </xf>
    <xf numFmtId="0" fontId="0" fillId="0" borderId="62" xfId="0" applyBorder="1" applyAlignment="1">
      <alignment vertical="center"/>
    </xf>
    <xf numFmtId="0" fontId="0" fillId="0" borderId="88" xfId="0" applyBorder="1" applyAlignment="1">
      <alignment horizontal="left" vertical="top"/>
    </xf>
    <xf numFmtId="0" fontId="10" fillId="0" borderId="112" xfId="0" applyFont="1" applyBorder="1" applyAlignment="1" quotePrefix="1">
      <alignment horizontal="left" vertical="top"/>
    </xf>
    <xf numFmtId="0" fontId="0" fillId="0" borderId="283" xfId="0" applyBorder="1" applyAlignment="1">
      <alignment horizontal="left" vertical="top"/>
    </xf>
    <xf numFmtId="0" fontId="14" fillId="0" borderId="0" xfId="0" applyFont="1" applyBorder="1" applyAlignment="1">
      <alignment horizontal="center" textRotation="90"/>
    </xf>
    <xf numFmtId="0" fontId="145" fillId="33" borderId="284" xfId="0" applyFont="1" applyFill="1" applyBorder="1" applyAlignment="1">
      <alignment horizontal="center"/>
    </xf>
    <xf numFmtId="0" fontId="146" fillId="33" borderId="285" xfId="0" applyFont="1" applyFill="1" applyBorder="1" applyAlignment="1">
      <alignment horizontal="center" textRotation="90"/>
    </xf>
    <xf numFmtId="3" fontId="10" fillId="33" borderId="266" xfId="0" applyNumberFormat="1" applyFont="1" applyFill="1" applyBorder="1" applyAlignment="1">
      <alignment horizontal="center" vertical="center" wrapText="1"/>
    </xf>
    <xf numFmtId="0" fontId="9" fillId="35" borderId="286" xfId="0" applyFont="1" applyFill="1" applyBorder="1" applyAlignment="1">
      <alignment horizontal="left" wrapText="1" indent="1"/>
    </xf>
    <xf numFmtId="0" fontId="7" fillId="34" borderId="287" xfId="0" applyFont="1" applyFill="1" applyBorder="1" applyAlignment="1">
      <alignment horizontal="center" wrapText="1"/>
    </xf>
    <xf numFmtId="0" fontId="7" fillId="34" borderId="18" xfId="0" applyFont="1" applyFill="1" applyBorder="1" applyAlignment="1">
      <alignment horizontal="center" wrapText="1"/>
    </xf>
    <xf numFmtId="0" fontId="7" fillId="34" borderId="288" xfId="0" applyFont="1" applyFill="1" applyBorder="1" applyAlignment="1">
      <alignment horizontal="center" wrapText="1"/>
    </xf>
    <xf numFmtId="166" fontId="11" fillId="33" borderId="289" xfId="0" applyNumberFormat="1" applyFont="1" applyFill="1" applyBorder="1" applyAlignment="1">
      <alignment horizontal="right" wrapText="1" indent="2"/>
    </xf>
    <xf numFmtId="166" fontId="12" fillId="33" borderId="290" xfId="0" applyNumberFormat="1" applyFont="1" applyFill="1" applyBorder="1" applyAlignment="1">
      <alignment horizontal="right" wrapText="1" indent="2"/>
    </xf>
    <xf numFmtId="166" fontId="9" fillId="33" borderId="290" xfId="0" applyNumberFormat="1" applyFont="1" applyFill="1" applyBorder="1" applyAlignment="1">
      <alignment horizontal="right" wrapText="1" indent="2"/>
    </xf>
    <xf numFmtId="166" fontId="11" fillId="33" borderId="290" xfId="0" applyNumberFormat="1" applyFont="1" applyFill="1" applyBorder="1" applyAlignment="1">
      <alignment horizontal="right" wrapText="1" indent="2"/>
    </xf>
    <xf numFmtId="166" fontId="11" fillId="33" borderId="291" xfId="0" applyNumberFormat="1" applyFont="1" applyFill="1" applyBorder="1" applyAlignment="1">
      <alignment horizontal="right" wrapText="1" indent="2"/>
    </xf>
    <xf numFmtId="0" fontId="14" fillId="53" borderId="292" xfId="0" applyFont="1" applyFill="1" applyBorder="1" applyAlignment="1">
      <alignment horizontal="left" wrapText="1" indent="1"/>
    </xf>
    <xf numFmtId="0" fontId="9" fillId="54" borderId="22" xfId="0" applyFont="1" applyFill="1" applyBorder="1" applyAlignment="1">
      <alignment horizontal="left" wrapText="1" indent="1"/>
    </xf>
    <xf numFmtId="0" fontId="9" fillId="54" borderId="25" xfId="0" applyFont="1" applyFill="1" applyBorder="1" applyAlignment="1">
      <alignment horizontal="left" wrapText="1" indent="1"/>
    </xf>
    <xf numFmtId="0" fontId="9" fillId="54" borderId="32" xfId="0" applyFont="1" applyFill="1" applyBorder="1" applyAlignment="1">
      <alignment horizontal="left" wrapText="1" indent="1"/>
    </xf>
    <xf numFmtId="0" fontId="9" fillId="54" borderId="293" xfId="0" applyFont="1" applyFill="1" applyBorder="1" applyAlignment="1">
      <alignment horizontal="left" wrapText="1" indent="1"/>
    </xf>
    <xf numFmtId="0" fontId="78" fillId="0" borderId="0" xfId="0" applyFont="1" applyAlignment="1">
      <alignment/>
    </xf>
    <xf numFmtId="0" fontId="0" fillId="0" borderId="294" xfId="0" applyBorder="1" applyAlignment="1">
      <alignment/>
    </xf>
    <xf numFmtId="0" fontId="0" fillId="32" borderId="99" xfId="0" applyFill="1" applyBorder="1" applyAlignment="1">
      <alignment/>
    </xf>
    <xf numFmtId="0" fontId="9" fillId="32" borderId="99" xfId="0" applyFont="1" applyFill="1" applyBorder="1" applyAlignment="1">
      <alignment/>
    </xf>
    <xf numFmtId="0" fontId="0" fillId="32" borderId="107" xfId="0" applyFill="1" applyBorder="1" applyAlignment="1">
      <alignment/>
    </xf>
    <xf numFmtId="0" fontId="0" fillId="32" borderId="88" xfId="0" applyFill="1" applyBorder="1" applyAlignment="1">
      <alignment/>
    </xf>
    <xf numFmtId="0" fontId="0" fillId="32" borderId="108" xfId="0" applyFill="1" applyBorder="1" applyAlignment="1">
      <alignment/>
    </xf>
    <xf numFmtId="0" fontId="0" fillId="32" borderId="93" xfId="0" applyFill="1" applyBorder="1" applyAlignment="1">
      <alignment/>
    </xf>
    <xf numFmtId="0" fontId="9" fillId="32" borderId="295" xfId="0" applyFont="1" applyFill="1" applyBorder="1" applyAlignment="1">
      <alignment horizontal="right"/>
    </xf>
    <xf numFmtId="0" fontId="9" fillId="32" borderId="295" xfId="0" applyFont="1" applyFill="1" applyBorder="1" applyAlignment="1">
      <alignment/>
    </xf>
    <xf numFmtId="0" fontId="9" fillId="32" borderId="295" xfId="0" applyFont="1" applyFill="1" applyBorder="1" applyAlignment="1">
      <alignment horizontal="center"/>
    </xf>
    <xf numFmtId="0" fontId="9" fillId="32" borderId="295" xfId="0" applyFont="1" applyFill="1" applyBorder="1" applyAlignment="1">
      <alignment horizontal="left"/>
    </xf>
    <xf numFmtId="0" fontId="0" fillId="32" borderId="296" xfId="0" applyFill="1" applyBorder="1" applyAlignment="1">
      <alignment/>
    </xf>
    <xf numFmtId="3" fontId="47" fillId="0" borderId="297" xfId="0" applyNumberFormat="1" applyFont="1" applyBorder="1" applyAlignment="1">
      <alignment horizontal="center" wrapText="1"/>
    </xf>
    <xf numFmtId="0" fontId="17" fillId="0" borderId="99" xfId="0" applyFont="1" applyBorder="1" applyAlignment="1">
      <alignment vertical="center"/>
    </xf>
    <xf numFmtId="0" fontId="0" fillId="0" borderId="232" xfId="0" applyBorder="1" applyAlignment="1">
      <alignment/>
    </xf>
    <xf numFmtId="3" fontId="147" fillId="0" borderId="230" xfId="0" applyNumberFormat="1" applyFont="1" applyBorder="1" applyAlignment="1">
      <alignment horizontal="center" vertical="center" wrapText="1"/>
    </xf>
    <xf numFmtId="2" fontId="147" fillId="0" borderId="231" xfId="0" applyNumberFormat="1" applyFont="1" applyBorder="1" applyAlignment="1">
      <alignment horizontal="center" vertical="center"/>
    </xf>
    <xf numFmtId="0" fontId="50" fillId="39" borderId="298" xfId="0" applyFont="1" applyFill="1" applyBorder="1" applyAlignment="1">
      <alignment horizontal="center" wrapText="1"/>
    </xf>
    <xf numFmtId="0" fontId="32" fillId="39" borderId="71" xfId="0" applyFont="1" applyFill="1" applyBorder="1" applyAlignment="1">
      <alignment horizontal="center" wrapText="1"/>
    </xf>
    <xf numFmtId="0" fontId="50" fillId="39" borderId="299" xfId="0" applyFont="1" applyFill="1" applyBorder="1" applyAlignment="1">
      <alignment horizontal="center" wrapText="1"/>
    </xf>
    <xf numFmtId="3" fontId="28" fillId="0" borderId="300" xfId="0" applyNumberFormat="1" applyFont="1" applyBorder="1" applyAlignment="1">
      <alignment horizontal="right" vertical="center" indent="2"/>
    </xf>
    <xf numFmtId="3" fontId="28" fillId="0" borderId="301" xfId="0" applyNumberFormat="1" applyFont="1" applyBorder="1" applyAlignment="1">
      <alignment horizontal="right" vertical="center" indent="2"/>
    </xf>
    <xf numFmtId="3" fontId="51" fillId="0" borderId="301" xfId="0" applyNumberFormat="1" applyFont="1" applyBorder="1" applyAlignment="1">
      <alignment horizontal="center" vertical="center"/>
    </xf>
    <xf numFmtId="3" fontId="51" fillId="0" borderId="302" xfId="0" applyNumberFormat="1" applyFont="1" applyBorder="1" applyAlignment="1">
      <alignment horizontal="center" vertical="center"/>
    </xf>
    <xf numFmtId="0" fontId="50" fillId="39" borderId="303" xfId="0" applyFont="1" applyFill="1" applyBorder="1" applyAlignment="1">
      <alignment horizontal="center" wrapText="1"/>
    </xf>
    <xf numFmtId="3" fontId="51" fillId="0" borderId="304" xfId="0" applyNumberFormat="1" applyFont="1" applyBorder="1" applyAlignment="1">
      <alignment horizontal="center" vertical="center"/>
    </xf>
    <xf numFmtId="3" fontId="148" fillId="0" borderId="137" xfId="0" applyNumberFormat="1" applyFont="1" applyBorder="1" applyAlignment="1">
      <alignment vertical="center"/>
    </xf>
    <xf numFmtId="3" fontId="148" fillId="0" borderId="131" xfId="0" applyNumberFormat="1" applyFont="1" applyBorder="1" applyAlignment="1">
      <alignment vertical="center"/>
    </xf>
    <xf numFmtId="0" fontId="0" fillId="0" borderId="305" xfId="0" applyBorder="1" applyAlignment="1">
      <alignment/>
    </xf>
    <xf numFmtId="0" fontId="0" fillId="0" borderId="0" xfId="0" applyBorder="1" applyAlignment="1">
      <alignment horizontal="right"/>
    </xf>
    <xf numFmtId="10" fontId="9" fillId="32" borderId="306" xfId="0" applyNumberFormat="1" applyFont="1" applyFill="1" applyBorder="1" applyAlignment="1">
      <alignment horizontal="center"/>
    </xf>
    <xf numFmtId="0" fontId="5" fillId="34" borderId="307" xfId="0" applyFont="1" applyFill="1" applyBorder="1" applyAlignment="1">
      <alignment horizontal="center" vertical="top" wrapText="1"/>
    </xf>
    <xf numFmtId="174" fontId="5" fillId="0" borderId="308" xfId="0" applyNumberFormat="1" applyFont="1" applyBorder="1" applyAlignment="1">
      <alignment horizontal="left" indent="7"/>
    </xf>
    <xf numFmtId="0" fontId="10" fillId="0" borderId="19" xfId="0" applyFont="1" applyBorder="1" applyAlignment="1">
      <alignment vertical="center"/>
    </xf>
    <xf numFmtId="0" fontId="63" fillId="0" borderId="0" xfId="0" applyFont="1" applyAlignment="1">
      <alignment horizontal="left" vertical="center" indent="2"/>
    </xf>
    <xf numFmtId="0" fontId="30" fillId="33" borderId="309" xfId="0" applyFont="1" applyFill="1" applyBorder="1" applyAlignment="1">
      <alignment horizontal="center" vertical="center" wrapText="1"/>
    </xf>
    <xf numFmtId="0" fontId="30" fillId="33" borderId="310" xfId="0" applyFont="1" applyFill="1" applyBorder="1" applyAlignment="1">
      <alignment horizontal="center" vertical="center" wrapText="1"/>
    </xf>
    <xf numFmtId="0" fontId="58" fillId="33" borderId="310" xfId="0" applyFont="1" applyFill="1" applyBorder="1" applyAlignment="1">
      <alignment horizontal="center" vertical="center"/>
    </xf>
    <xf numFmtId="2" fontId="58" fillId="33" borderId="19" xfId="0" applyNumberFormat="1" applyFont="1" applyFill="1" applyBorder="1" applyAlignment="1">
      <alignment horizontal="right" vertical="center"/>
    </xf>
    <xf numFmtId="167" fontId="58" fillId="33" borderId="19" xfId="0" applyNumberFormat="1" applyFont="1" applyFill="1" applyBorder="1" applyAlignment="1">
      <alignment horizontal="right" vertical="center"/>
    </xf>
    <xf numFmtId="168" fontId="58" fillId="33" borderId="19" xfId="0" applyNumberFormat="1" applyFont="1" applyFill="1" applyBorder="1" applyAlignment="1">
      <alignment horizontal="right" vertical="center"/>
    </xf>
    <xf numFmtId="166" fontId="10" fillId="33" borderId="18" xfId="0" applyNumberFormat="1" applyFont="1" applyFill="1" applyBorder="1" applyAlignment="1">
      <alignment horizontal="right" vertical="center"/>
    </xf>
    <xf numFmtId="0" fontId="10" fillId="0" borderId="0" xfId="0" applyFont="1" applyBorder="1" applyAlignment="1">
      <alignment horizontal="center"/>
    </xf>
    <xf numFmtId="2" fontId="10" fillId="0" borderId="0" xfId="0" applyNumberFormat="1" applyFont="1" applyBorder="1" applyAlignment="1">
      <alignment horizontal="center"/>
    </xf>
    <xf numFmtId="166" fontId="10" fillId="0" borderId="19" xfId="0" applyNumberFormat="1" applyFont="1" applyBorder="1" applyAlignment="1">
      <alignment horizontal="center"/>
    </xf>
    <xf numFmtId="166" fontId="10" fillId="0" borderId="19" xfId="0" applyNumberFormat="1" applyFont="1" applyBorder="1" applyAlignment="1">
      <alignment horizontal="center" vertical="center"/>
    </xf>
    <xf numFmtId="167" fontId="30" fillId="33" borderId="19" xfId="0" applyNumberFormat="1" applyFont="1" applyFill="1" applyBorder="1" applyAlignment="1">
      <alignment horizontal="center" wrapText="1"/>
    </xf>
    <xf numFmtId="0" fontId="0" fillId="0" borderId="311" xfId="0" applyBorder="1" applyAlignment="1">
      <alignment horizontal="center" vertical="center"/>
    </xf>
    <xf numFmtId="0" fontId="7" fillId="34" borderId="11" xfId="0" applyFont="1" applyFill="1" applyBorder="1" applyAlignment="1">
      <alignment horizontal="center" vertical="center" wrapText="1"/>
    </xf>
    <xf numFmtId="0" fontId="7" fillId="34" borderId="312" xfId="0" applyFont="1" applyFill="1" applyBorder="1" applyAlignment="1">
      <alignment horizontal="center" vertical="center" wrapText="1"/>
    </xf>
    <xf numFmtId="0" fontId="8" fillId="34" borderId="313" xfId="0" applyFont="1" applyFill="1" applyBorder="1" applyAlignment="1">
      <alignment horizontal="center" vertical="center" wrapText="1"/>
    </xf>
    <xf numFmtId="0" fontId="9" fillId="33" borderId="314" xfId="0" applyFont="1" applyFill="1" applyBorder="1" applyAlignment="1">
      <alignment horizontal="left" wrapText="1" indent="1"/>
    </xf>
    <xf numFmtId="3" fontId="10" fillId="33" borderId="315" xfId="0" applyNumberFormat="1" applyFont="1" applyFill="1" applyBorder="1" applyAlignment="1">
      <alignment horizontal="center" vertical="center" wrapText="1"/>
    </xf>
    <xf numFmtId="49" fontId="9" fillId="33" borderId="316" xfId="0" applyNumberFormat="1" applyFont="1" applyFill="1" applyBorder="1" applyAlignment="1">
      <alignment horizontal="left" wrapText="1" indent="1"/>
    </xf>
    <xf numFmtId="16" fontId="9" fillId="33" borderId="316" xfId="0" applyNumberFormat="1" applyFont="1" applyFill="1" applyBorder="1" applyAlignment="1">
      <alignment horizontal="left" wrapText="1" indent="1"/>
    </xf>
    <xf numFmtId="16" fontId="9" fillId="33" borderId="317" xfId="0" applyNumberFormat="1" applyFont="1" applyFill="1" applyBorder="1" applyAlignment="1">
      <alignment horizontal="left" wrapText="1" indent="1"/>
    </xf>
    <xf numFmtId="0" fontId="9" fillId="33" borderId="316" xfId="0" applyFont="1" applyFill="1" applyBorder="1" applyAlignment="1">
      <alignment horizontal="left" wrapText="1" indent="1"/>
    </xf>
    <xf numFmtId="165" fontId="10" fillId="33" borderId="315" xfId="0" applyNumberFormat="1" applyFont="1" applyFill="1" applyBorder="1" applyAlignment="1">
      <alignment horizontal="center" vertical="center" wrapText="1"/>
    </xf>
    <xf numFmtId="0" fontId="9" fillId="33" borderId="318" xfId="0" applyFont="1" applyFill="1" applyBorder="1" applyAlignment="1">
      <alignment horizontal="left" wrapText="1" indent="1"/>
    </xf>
    <xf numFmtId="0" fontId="10" fillId="36" borderId="319" xfId="0" applyFont="1" applyFill="1" applyBorder="1" applyAlignment="1">
      <alignment horizontal="left" wrapText="1" indent="1"/>
    </xf>
    <xf numFmtId="3" fontId="9" fillId="33" borderId="320" xfId="0" applyNumberFormat="1" applyFont="1" applyFill="1" applyBorder="1" applyAlignment="1">
      <alignment horizontal="right" wrapText="1" indent="1"/>
    </xf>
    <xf numFmtId="3" fontId="9" fillId="33" borderId="321" xfId="0" applyNumberFormat="1" applyFont="1" applyFill="1" applyBorder="1" applyAlignment="1">
      <alignment horizontal="right" wrapText="1" indent="1"/>
    </xf>
    <xf numFmtId="171" fontId="10" fillId="33" borderId="322" xfId="42" applyNumberFormat="1" applyFont="1" applyFill="1" applyBorder="1" applyAlignment="1" applyProtection="1">
      <alignment horizontal="center" wrapText="1"/>
      <protection/>
    </xf>
    <xf numFmtId="165" fontId="9" fillId="48" borderId="323" xfId="0" applyNumberFormat="1" applyFont="1" applyFill="1" applyBorder="1" applyAlignment="1">
      <alignment horizontal="right" wrapText="1" indent="1"/>
    </xf>
    <xf numFmtId="165" fontId="9" fillId="48" borderId="324" xfId="0" applyNumberFormat="1" applyFont="1" applyFill="1" applyBorder="1" applyAlignment="1">
      <alignment horizontal="right" wrapText="1" indent="1"/>
    </xf>
    <xf numFmtId="167" fontId="9" fillId="48" borderId="310" xfId="0" applyNumberFormat="1" applyFont="1" applyFill="1" applyBorder="1" applyAlignment="1">
      <alignment horizontal="right" vertical="center" wrapText="1" indent="1"/>
    </xf>
    <xf numFmtId="164" fontId="9" fillId="48" borderId="309" xfId="0" applyNumberFormat="1" applyFont="1" applyFill="1" applyBorder="1" applyAlignment="1">
      <alignment horizontal="right" vertical="center" wrapText="1" indent="2"/>
    </xf>
    <xf numFmtId="0" fontId="9" fillId="35" borderId="325" xfId="0" applyFont="1" applyFill="1" applyBorder="1" applyAlignment="1">
      <alignment horizontal="left" wrapText="1" indent="1"/>
    </xf>
    <xf numFmtId="0" fontId="9" fillId="35" borderId="326" xfId="0" applyFont="1" applyFill="1" applyBorder="1" applyAlignment="1">
      <alignment horizontal="left" wrapText="1" indent="1"/>
    </xf>
    <xf numFmtId="0" fontId="9" fillId="33" borderId="310" xfId="0" applyFont="1" applyFill="1" applyBorder="1" applyAlignment="1">
      <alignment horizontal="center" wrapText="1"/>
    </xf>
    <xf numFmtId="0" fontId="10" fillId="36" borderId="310" xfId="0" applyFont="1" applyFill="1" applyBorder="1" applyAlignment="1">
      <alignment horizontal="center" vertical="center" wrapText="1"/>
    </xf>
    <xf numFmtId="0" fontId="5" fillId="0" borderId="71" xfId="0" applyFont="1" applyBorder="1" applyAlignment="1">
      <alignment horizontal="left"/>
    </xf>
    <xf numFmtId="0" fontId="9" fillId="0" borderId="23" xfId="0" applyFont="1" applyBorder="1" applyAlignment="1">
      <alignment horizontal="right" indent="1"/>
    </xf>
    <xf numFmtId="0" fontId="7" fillId="34" borderId="16" xfId="0" applyFont="1" applyFill="1" applyBorder="1" applyAlignment="1">
      <alignment horizontal="center" vertical="top" wrapText="1"/>
    </xf>
    <xf numFmtId="0" fontId="7" fillId="34" borderId="26" xfId="0" applyFont="1" applyFill="1" applyBorder="1" applyAlignment="1">
      <alignment horizontal="center" vertical="top" wrapText="1"/>
    </xf>
    <xf numFmtId="0" fontId="9" fillId="33" borderId="0" xfId="0" applyFont="1" applyFill="1" applyBorder="1" applyAlignment="1">
      <alignment horizontal="left" vertical="center" wrapText="1"/>
    </xf>
    <xf numFmtId="0" fontId="7" fillId="34" borderId="19" xfId="0" applyFont="1" applyFill="1" applyBorder="1" applyAlignment="1">
      <alignment horizontal="center" vertical="center" wrapText="1"/>
    </xf>
    <xf numFmtId="0" fontId="5" fillId="55" borderId="327" xfId="0" applyFont="1" applyFill="1" applyBorder="1" applyAlignment="1">
      <alignment horizontal="center"/>
    </xf>
    <xf numFmtId="0" fontId="5" fillId="55" borderId="328" xfId="0" applyFont="1" applyFill="1" applyBorder="1" applyAlignment="1">
      <alignment horizontal="center"/>
    </xf>
    <xf numFmtId="0" fontId="5" fillId="55" borderId="18" xfId="0" applyFont="1" applyFill="1" applyBorder="1" applyAlignment="1">
      <alignment horizontal="center"/>
    </xf>
    <xf numFmtId="0" fontId="5" fillId="55" borderId="62" xfId="0" applyFont="1" applyFill="1" applyBorder="1" applyAlignment="1">
      <alignment horizontal="center"/>
    </xf>
    <xf numFmtId="0" fontId="5" fillId="55" borderId="0" xfId="0" applyFont="1" applyFill="1" applyBorder="1" applyAlignment="1">
      <alignment horizontal="center"/>
    </xf>
    <xf numFmtId="0" fontId="5" fillId="55" borderId="305" xfId="0" applyFont="1" applyFill="1" applyBorder="1" applyAlignment="1">
      <alignment horizontal="center"/>
    </xf>
    <xf numFmtId="0" fontId="9" fillId="0" borderId="20" xfId="0" applyFont="1" applyBorder="1" applyAlignment="1">
      <alignment horizontal="right" indent="1"/>
    </xf>
    <xf numFmtId="0" fontId="2" fillId="0" borderId="0" xfId="0" applyFont="1" applyBorder="1" applyAlignment="1">
      <alignment horizontal="left"/>
    </xf>
    <xf numFmtId="0" fontId="9" fillId="0" borderId="111" xfId="0" applyFont="1" applyBorder="1" applyAlignment="1">
      <alignment horizontal="right" indent="1"/>
    </xf>
    <xf numFmtId="0" fontId="9" fillId="51" borderId="310" xfId="0" applyFont="1" applyFill="1" applyBorder="1" applyAlignment="1">
      <alignment horizontal="center"/>
    </xf>
    <xf numFmtId="0" fontId="4" fillId="0" borderId="11" xfId="0" applyFont="1" applyBorder="1" applyAlignment="1">
      <alignment horizontal="left"/>
    </xf>
    <xf numFmtId="0" fontId="4" fillId="0" borderId="12" xfId="0" applyFont="1" applyBorder="1" applyAlignment="1">
      <alignment horizontal="left"/>
    </xf>
    <xf numFmtId="0" fontId="7" fillId="34" borderId="329" xfId="0" applyFont="1" applyFill="1" applyBorder="1" applyAlignment="1">
      <alignment horizontal="center" vertical="top" wrapText="1"/>
    </xf>
    <xf numFmtId="0" fontId="7" fillId="34" borderId="148" xfId="0" applyFont="1" applyFill="1" applyBorder="1" applyAlignment="1">
      <alignment horizontal="center" vertical="top" wrapText="1"/>
    </xf>
    <xf numFmtId="0" fontId="9" fillId="51" borderId="19" xfId="0" applyFont="1" applyFill="1" applyBorder="1" applyAlignment="1">
      <alignment horizontal="center"/>
    </xf>
    <xf numFmtId="0" fontId="9" fillId="33" borderId="64" xfId="0" applyFont="1" applyFill="1" applyBorder="1" applyAlignment="1">
      <alignment horizontal="left" vertical="center" wrapText="1"/>
    </xf>
    <xf numFmtId="0" fontId="7" fillId="34" borderId="18"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14" fillId="34" borderId="111" xfId="0" applyFont="1" applyFill="1" applyBorder="1" applyAlignment="1">
      <alignment horizontal="center" vertical="center" wrapText="1"/>
    </xf>
    <xf numFmtId="0" fontId="9" fillId="0" borderId="23" xfId="0" applyFont="1" applyBorder="1" applyAlignment="1">
      <alignment horizontal="right"/>
    </xf>
    <xf numFmtId="0" fontId="7" fillId="34" borderId="148" xfId="0" applyFont="1" applyFill="1" applyBorder="1" applyAlignment="1">
      <alignment horizontal="center" vertical="center" wrapText="1"/>
    </xf>
    <xf numFmtId="0" fontId="9" fillId="0" borderId="20" xfId="0" applyFont="1" applyBorder="1" applyAlignment="1">
      <alignment horizontal="right" vertical="center"/>
    </xf>
    <xf numFmtId="0" fontId="9" fillId="0" borderId="23" xfId="0" applyFont="1" applyBorder="1" applyAlignment="1">
      <alignment horizontal="right" vertical="center"/>
    </xf>
    <xf numFmtId="0" fontId="9" fillId="0" borderId="111" xfId="0" applyFont="1" applyBorder="1" applyAlignment="1">
      <alignment horizontal="right" vertical="center"/>
    </xf>
    <xf numFmtId="0" fontId="9" fillId="51" borderId="327" xfId="0" applyFont="1" applyFill="1" applyBorder="1" applyAlignment="1">
      <alignment horizontal="center" vertical="center"/>
    </xf>
    <xf numFmtId="0" fontId="7" fillId="34" borderId="330" xfId="0" applyFont="1" applyFill="1" applyBorder="1" applyAlignment="1">
      <alignment horizontal="center" vertical="center" wrapText="1"/>
    </xf>
    <xf numFmtId="0" fontId="7" fillId="34" borderId="331" xfId="0" applyFont="1" applyFill="1" applyBorder="1" applyAlignment="1">
      <alignment horizontal="center" vertical="center" wrapText="1"/>
    </xf>
    <xf numFmtId="0" fontId="7" fillId="34" borderId="332" xfId="0" applyFont="1" applyFill="1" applyBorder="1" applyAlignment="1">
      <alignment horizontal="center" vertical="center" wrapText="1"/>
    </xf>
    <xf numFmtId="0" fontId="7" fillId="34" borderId="266" xfId="0" applyFont="1" applyFill="1" applyBorder="1" applyAlignment="1">
      <alignment horizontal="center" vertical="center" wrapText="1"/>
    </xf>
    <xf numFmtId="164" fontId="13" fillId="51" borderId="327" xfId="0" applyNumberFormat="1" applyFont="1" applyFill="1" applyBorder="1" applyAlignment="1">
      <alignment horizontal="center" vertical="center" wrapText="1"/>
    </xf>
    <xf numFmtId="164" fontId="13" fillId="51" borderId="328" xfId="0" applyNumberFormat="1" applyFont="1" applyFill="1" applyBorder="1" applyAlignment="1">
      <alignment horizontal="center" vertical="center" wrapText="1"/>
    </xf>
    <xf numFmtId="164" fontId="13" fillId="51" borderId="18" xfId="0" applyNumberFormat="1" applyFont="1" applyFill="1" applyBorder="1" applyAlignment="1">
      <alignment horizontal="center" vertical="center" wrapText="1"/>
    </xf>
    <xf numFmtId="164" fontId="13" fillId="51" borderId="333" xfId="0" applyNumberFormat="1" applyFont="1" applyFill="1" applyBorder="1" applyAlignment="1">
      <alignment horizontal="center" vertical="center" wrapText="1"/>
    </xf>
    <xf numFmtId="0" fontId="4" fillId="0" borderId="0" xfId="0" applyFont="1" applyBorder="1" applyAlignment="1">
      <alignment horizontal="left"/>
    </xf>
    <xf numFmtId="0" fontId="10" fillId="0" borderId="64" xfId="0" applyFont="1" applyBorder="1" applyAlignment="1">
      <alignment horizontal="left"/>
    </xf>
    <xf numFmtId="0" fontId="5" fillId="0" borderId="0" xfId="0" applyFont="1" applyBorder="1" applyAlignment="1">
      <alignment horizontal="left"/>
    </xf>
    <xf numFmtId="0" fontId="7" fillId="34" borderId="334" xfId="0" applyFont="1" applyFill="1" applyBorder="1" applyAlignment="1">
      <alignment horizontal="center" vertical="center" wrapText="1"/>
    </xf>
    <xf numFmtId="0" fontId="7" fillId="34" borderId="335" xfId="0" applyFont="1" applyFill="1" applyBorder="1" applyAlignment="1">
      <alignment horizontal="center" vertical="center" wrapText="1"/>
    </xf>
    <xf numFmtId="0" fontId="7" fillId="34" borderId="329" xfId="0" applyFont="1" applyFill="1" applyBorder="1" applyAlignment="1">
      <alignment horizontal="center" vertical="center" wrapText="1"/>
    </xf>
    <xf numFmtId="164" fontId="13" fillId="51" borderId="327" xfId="0" applyNumberFormat="1" applyFont="1" applyFill="1" applyBorder="1" applyAlignment="1">
      <alignment horizontal="center" wrapText="1"/>
    </xf>
    <xf numFmtId="164" fontId="13" fillId="51" borderId="18" xfId="0" applyNumberFormat="1" applyFont="1" applyFill="1" applyBorder="1" applyAlignment="1">
      <alignment horizontal="center" wrapText="1"/>
    </xf>
    <xf numFmtId="0" fontId="9" fillId="33" borderId="20" xfId="0" applyFont="1" applyFill="1" applyBorder="1" applyAlignment="1">
      <alignment horizontal="center" wrapText="1"/>
    </xf>
    <xf numFmtId="0" fontId="5" fillId="34" borderId="336" xfId="0" applyFont="1" applyFill="1" applyBorder="1" applyAlignment="1">
      <alignment horizontal="left" wrapText="1"/>
    </xf>
    <xf numFmtId="0" fontId="5" fillId="34" borderId="337" xfId="0" applyFont="1" applyFill="1" applyBorder="1" applyAlignment="1">
      <alignment horizontal="center" vertical="center" wrapText="1"/>
    </xf>
    <xf numFmtId="0" fontId="5" fillId="34" borderId="338" xfId="0" applyFont="1" applyFill="1" applyBorder="1" applyAlignment="1">
      <alignment horizontal="center" vertical="center" wrapText="1"/>
    </xf>
    <xf numFmtId="0" fontId="5" fillId="34" borderId="339" xfId="0" applyFont="1" applyFill="1" applyBorder="1" applyAlignment="1">
      <alignment horizontal="left" wrapText="1"/>
    </xf>
    <xf numFmtId="0" fontId="0" fillId="33" borderId="340" xfId="0" applyFont="1" applyFill="1" applyBorder="1" applyAlignment="1">
      <alignment horizontal="left" wrapText="1" indent="1"/>
    </xf>
    <xf numFmtId="0" fontId="5" fillId="34" borderId="341" xfId="0" applyFont="1" applyFill="1" applyBorder="1" applyAlignment="1">
      <alignment horizontal="center" vertical="top" wrapText="1"/>
    </xf>
    <xf numFmtId="0" fontId="5" fillId="34" borderId="342" xfId="0" applyFont="1" applyFill="1" applyBorder="1" applyAlignment="1">
      <alignment horizontal="center" vertical="top" wrapText="1"/>
    </xf>
    <xf numFmtId="0" fontId="5" fillId="34" borderId="343" xfId="0" applyFont="1" applyFill="1" applyBorder="1" applyAlignment="1">
      <alignment horizontal="center" wrapText="1"/>
    </xf>
    <xf numFmtId="0" fontId="5" fillId="34" borderId="344" xfId="0" applyFont="1" applyFill="1" applyBorder="1" applyAlignment="1">
      <alignment horizontal="center" wrapText="1"/>
    </xf>
    <xf numFmtId="0" fontId="5" fillId="34" borderId="345" xfId="0" applyFont="1" applyFill="1" applyBorder="1" applyAlignment="1">
      <alignment horizontal="center" wrapText="1"/>
    </xf>
    <xf numFmtId="0" fontId="5" fillId="0" borderId="12" xfId="0" applyFont="1" applyBorder="1" applyAlignment="1">
      <alignment horizontal="center"/>
    </xf>
    <xf numFmtId="0" fontId="5" fillId="0" borderId="12" xfId="0" applyFont="1" applyBorder="1" applyAlignment="1">
      <alignment horizontal="center" wrapText="1"/>
    </xf>
    <xf numFmtId="0" fontId="9" fillId="0" borderId="64" xfId="0" applyFont="1" applyBorder="1" applyAlignment="1">
      <alignment horizontal="left" vertical="center" wrapText="1"/>
    </xf>
    <xf numFmtId="0" fontId="9" fillId="0" borderId="0" xfId="0" applyFont="1" applyBorder="1" applyAlignment="1">
      <alignment horizontal="left" vertical="center" wrapText="1"/>
    </xf>
    <xf numFmtId="2" fontId="35" fillId="0" borderId="65" xfId="0" applyNumberFormat="1" applyFont="1" applyBorder="1" applyAlignment="1">
      <alignment horizontal="left" wrapText="1"/>
    </xf>
    <xf numFmtId="0" fontId="10" fillId="0" borderId="346" xfId="0" applyFont="1" applyBorder="1" applyAlignment="1">
      <alignment horizontal="left" vertical="center" wrapText="1"/>
    </xf>
    <xf numFmtId="0" fontId="34" fillId="39" borderId="347" xfId="0" applyFont="1" applyFill="1" applyBorder="1" applyAlignment="1">
      <alignment horizontal="center" wrapText="1"/>
    </xf>
    <xf numFmtId="0" fontId="34" fillId="39" borderId="348" xfId="0" applyFont="1" applyFill="1" applyBorder="1" applyAlignment="1">
      <alignment horizontal="center" wrapText="1"/>
    </xf>
    <xf numFmtId="0" fontId="9" fillId="0" borderId="57" xfId="0" applyFont="1" applyBorder="1" applyAlignment="1">
      <alignment horizontal="left" wrapText="1"/>
    </xf>
    <xf numFmtId="0" fontId="2" fillId="0" borderId="56" xfId="0" applyFont="1" applyBorder="1" applyAlignment="1">
      <alignment horizontal="left"/>
    </xf>
    <xf numFmtId="0" fontId="30" fillId="39" borderId="23" xfId="0" applyFont="1" applyFill="1" applyBorder="1" applyAlignment="1">
      <alignment horizontal="center" wrapText="1"/>
    </xf>
    <xf numFmtId="0" fontId="32" fillId="39" borderId="349" xfId="0" applyFont="1" applyFill="1" applyBorder="1" applyAlignment="1">
      <alignment horizontal="center" wrapText="1"/>
    </xf>
    <xf numFmtId="0" fontId="32" fillId="39" borderId="25" xfId="0" applyFont="1" applyFill="1" applyBorder="1" applyAlignment="1">
      <alignment horizontal="center" wrapText="1"/>
    </xf>
    <xf numFmtId="0" fontId="30" fillId="39" borderId="19" xfId="0" applyFont="1" applyFill="1" applyBorder="1" applyAlignment="1">
      <alignment horizontal="center" wrapText="1"/>
    </xf>
    <xf numFmtId="0" fontId="34" fillId="39" borderId="47" xfId="0" applyFont="1" applyFill="1" applyBorder="1" applyAlignment="1">
      <alignment horizontal="center" wrapText="1"/>
    </xf>
    <xf numFmtId="0" fontId="34" fillId="39" borderId="48" xfId="0" applyFont="1" applyFill="1" applyBorder="1" applyAlignment="1">
      <alignment horizontal="center" wrapText="1"/>
    </xf>
    <xf numFmtId="0" fontId="34" fillId="39" borderId="311" xfId="0" applyFont="1" applyFill="1" applyBorder="1" applyAlignment="1">
      <alignment horizontal="center" wrapText="1"/>
    </xf>
    <xf numFmtId="0" fontId="32" fillId="39" borderId="350" xfId="0" applyFont="1" applyFill="1" applyBorder="1" applyAlignment="1">
      <alignment horizontal="center" wrapText="1"/>
    </xf>
    <xf numFmtId="0" fontId="43" fillId="0" borderId="351" xfId="0" applyFont="1" applyFill="1" applyBorder="1" applyAlignment="1">
      <alignment horizontal="center" vertical="center" wrapText="1"/>
    </xf>
    <xf numFmtId="3" fontId="0" fillId="0" borderId="221" xfId="0" applyNumberFormat="1" applyFont="1" applyBorder="1" applyAlignment="1">
      <alignment horizontal="center" vertical="center"/>
    </xf>
    <xf numFmtId="0" fontId="62" fillId="56" borderId="351" xfId="0" applyFont="1" applyFill="1" applyBorder="1" applyAlignment="1">
      <alignment horizontal="center" vertical="center" wrapText="1"/>
    </xf>
    <xf numFmtId="3" fontId="0" fillId="0" borderId="205" xfId="0" applyNumberFormat="1" applyFont="1" applyBorder="1" applyAlignment="1">
      <alignment horizontal="center" vertical="center"/>
    </xf>
    <xf numFmtId="0" fontId="62" fillId="0" borderId="351" xfId="0" applyFont="1" applyFill="1" applyBorder="1" applyAlignment="1">
      <alignment horizontal="center" vertical="center" wrapText="1"/>
    </xf>
    <xf numFmtId="1" fontId="27" fillId="56" borderId="351" xfId="0" applyNumberFormat="1" applyFont="1" applyFill="1" applyBorder="1" applyAlignment="1">
      <alignment horizontal="center" vertical="center" wrapText="1"/>
    </xf>
    <xf numFmtId="0" fontId="27" fillId="0" borderId="351" xfId="0" applyFont="1" applyFill="1" applyBorder="1" applyAlignment="1">
      <alignment horizontal="center" vertical="center" wrapText="1"/>
    </xf>
    <xf numFmtId="1" fontId="62" fillId="56" borderId="221" xfId="0" applyNumberFormat="1" applyFont="1" applyFill="1" applyBorder="1" applyAlignment="1">
      <alignment horizontal="center" vertical="center" wrapText="1"/>
    </xf>
    <xf numFmtId="3" fontId="0" fillId="0" borderId="352" xfId="0" applyNumberFormat="1" applyFont="1" applyBorder="1" applyAlignment="1">
      <alignment horizontal="center" vertical="center"/>
    </xf>
    <xf numFmtId="1" fontId="27" fillId="0" borderId="221" xfId="0" applyNumberFormat="1" applyFont="1" applyFill="1" applyBorder="1" applyAlignment="1">
      <alignment horizontal="center" vertical="center" wrapText="1"/>
    </xf>
    <xf numFmtId="0" fontId="147" fillId="0" borderId="353" xfId="0" applyFont="1" applyFill="1" applyBorder="1" applyAlignment="1">
      <alignment horizontal="center" vertical="center" wrapText="1"/>
    </xf>
    <xf numFmtId="0" fontId="147" fillId="0" borderId="351" xfId="0" applyFont="1" applyFill="1" applyBorder="1" applyAlignment="1">
      <alignment horizontal="center" vertical="center" wrapText="1"/>
    </xf>
    <xf numFmtId="0" fontId="10" fillId="0" borderId="0" xfId="0" applyFont="1" applyBorder="1" applyAlignment="1">
      <alignment horizontal="left" wrapText="1"/>
    </xf>
    <xf numFmtId="0" fontId="49" fillId="0" borderId="354" xfId="53" applyNumberFormat="1" applyFont="1" applyFill="1" applyBorder="1" applyAlignment="1" applyProtection="1">
      <alignment vertical="center" wrapText="1"/>
      <protection/>
    </xf>
    <xf numFmtId="0" fontId="10" fillId="0" borderId="0" xfId="0" applyFont="1" applyBorder="1" applyAlignment="1">
      <alignment horizontal="left" vertical="center" wrapText="1"/>
    </xf>
    <xf numFmtId="0" fontId="9" fillId="56" borderId="0" xfId="0" applyFont="1" applyFill="1" applyBorder="1" applyAlignment="1">
      <alignment horizontal="left"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56" xfId="0" applyFont="1" applyBorder="1" applyAlignment="1">
      <alignment horizontal="left" vertical="top" wrapText="1"/>
    </xf>
    <xf numFmtId="0" fontId="10" fillId="0" borderId="355" xfId="0" applyFont="1" applyBorder="1" applyAlignment="1">
      <alignment horizontal="left" vertical="top" wrapText="1"/>
    </xf>
    <xf numFmtId="0" fontId="10" fillId="0" borderId="356" xfId="0" applyFont="1" applyBorder="1" applyAlignment="1">
      <alignment horizontal="left" vertical="top" wrapText="1"/>
    </xf>
    <xf numFmtId="0" fontId="10" fillId="0" borderId="357" xfId="0" applyFont="1" applyBorder="1" applyAlignment="1">
      <alignment horizontal="left" vertical="top" wrapText="1"/>
    </xf>
    <xf numFmtId="0" fontId="49" fillId="0" borderId="358" xfId="53" applyNumberFormat="1" applyFont="1" applyFill="1" applyBorder="1" applyAlignment="1" applyProtection="1">
      <alignment vertical="top" wrapText="1"/>
      <protection/>
    </xf>
    <xf numFmtId="0" fontId="49" fillId="0" borderId="359" xfId="53" applyNumberFormat="1" applyFont="1" applyFill="1" applyBorder="1" applyAlignment="1" applyProtection="1">
      <alignment vertical="center" wrapText="1"/>
      <protection/>
    </xf>
    <xf numFmtId="3" fontId="147" fillId="0" borderId="221" xfId="0" applyNumberFormat="1" applyFont="1" applyBorder="1" applyAlignment="1">
      <alignment horizontal="center" vertical="center"/>
    </xf>
    <xf numFmtId="0" fontId="10" fillId="0" borderId="360" xfId="0" applyFont="1" applyBorder="1" applyAlignment="1">
      <alignment horizontal="left" vertical="center" wrapText="1"/>
    </xf>
    <xf numFmtId="0" fontId="10" fillId="0" borderId="361" xfId="0" applyFont="1" applyBorder="1" applyAlignment="1">
      <alignment horizontal="left" vertical="center" wrapText="1"/>
    </xf>
    <xf numFmtId="0" fontId="50" fillId="39" borderId="362" xfId="0" applyFont="1" applyFill="1" applyBorder="1" applyAlignment="1">
      <alignment horizontal="center" wrapText="1"/>
    </xf>
    <xf numFmtId="0" fontId="5" fillId="0" borderId="71" xfId="0" applyFont="1" applyBorder="1" applyAlignment="1">
      <alignment horizontal="left"/>
    </xf>
    <xf numFmtId="0" fontId="50" fillId="39" borderId="121" xfId="0" applyFont="1" applyFill="1" applyBorder="1" applyAlignment="1">
      <alignment horizontal="center" wrapText="1"/>
    </xf>
    <xf numFmtId="0" fontId="50" fillId="39" borderId="363" xfId="0" applyFont="1" applyFill="1" applyBorder="1" applyAlignment="1">
      <alignment horizontal="center" wrapText="1"/>
    </xf>
    <xf numFmtId="0" fontId="50" fillId="39" borderId="364" xfId="0" applyFont="1" applyFill="1" applyBorder="1" applyAlignment="1">
      <alignment horizontal="center" wrapText="1"/>
    </xf>
    <xf numFmtId="0" fontId="50" fillId="39" borderId="97" xfId="0" applyFont="1" applyFill="1" applyBorder="1" applyAlignment="1">
      <alignment horizontal="center" wrapText="1"/>
    </xf>
    <xf numFmtId="0" fontId="50" fillId="39" borderId="365" xfId="0" applyFont="1" applyFill="1" applyBorder="1" applyAlignment="1">
      <alignment horizontal="center" wrapText="1"/>
    </xf>
    <xf numFmtId="0" fontId="34" fillId="39" borderId="366" xfId="0" applyFont="1" applyFill="1" applyBorder="1" applyAlignment="1">
      <alignment horizontal="center" wrapText="1"/>
    </xf>
    <xf numFmtId="0" fontId="34" fillId="39" borderId="138" xfId="0" applyFont="1" applyFill="1" applyBorder="1" applyAlignment="1">
      <alignment horizontal="center" wrapText="1"/>
    </xf>
    <xf numFmtId="0" fontId="34" fillId="39" borderId="174" xfId="0" applyFont="1" applyFill="1" applyBorder="1" applyAlignment="1">
      <alignment horizontal="center" wrapText="1"/>
    </xf>
    <xf numFmtId="0" fontId="0" fillId="39" borderId="138" xfId="0" applyFont="1" applyFill="1" applyBorder="1" applyAlignment="1">
      <alignment horizontal="center"/>
    </xf>
    <xf numFmtId="0" fontId="34" fillId="39" borderId="268" xfId="0" applyFont="1" applyFill="1" applyBorder="1" applyAlignment="1">
      <alignment horizontal="center" wrapText="1"/>
    </xf>
    <xf numFmtId="0" fontId="5" fillId="0" borderId="16" xfId="0" applyFont="1" applyBorder="1" applyAlignment="1">
      <alignment horizontal="center"/>
    </xf>
    <xf numFmtId="0" fontId="61" fillId="0" borderId="0" xfId="0" applyFont="1" applyBorder="1" applyAlignment="1">
      <alignment horizontal="left" vertical="center"/>
    </xf>
    <xf numFmtId="0" fontId="30" fillId="33" borderId="19" xfId="0" applyFont="1" applyFill="1" applyBorder="1" applyAlignment="1">
      <alignment horizontal="center" wrapText="1"/>
    </xf>
    <xf numFmtId="0" fontId="2" fillId="0" borderId="10" xfId="0" applyFont="1" applyBorder="1" applyAlignment="1">
      <alignment horizontal="left"/>
    </xf>
    <xf numFmtId="0" fontId="0" fillId="0" borderId="367" xfId="0" applyFont="1" applyBorder="1" applyAlignment="1">
      <alignment horizontal="center" textRotation="90"/>
    </xf>
    <xf numFmtId="0" fontId="10" fillId="0" borderId="0" xfId="0" applyFont="1" applyBorder="1" applyAlignment="1">
      <alignment horizontal="left" vertical="center"/>
    </xf>
    <xf numFmtId="0" fontId="10" fillId="0" borderId="0" xfId="0" applyFont="1" applyBorder="1" applyAlignment="1">
      <alignment horizontal="left"/>
    </xf>
    <xf numFmtId="0" fontId="10" fillId="0" borderId="0" xfId="0" applyFont="1" applyBorder="1" applyAlignment="1" quotePrefix="1">
      <alignment horizontal="left"/>
    </xf>
    <xf numFmtId="0" fontId="36" fillId="39" borderId="138" xfId="0" applyFont="1" applyFill="1" applyBorder="1" applyAlignment="1">
      <alignment horizontal="center" wrapText="1"/>
    </xf>
    <xf numFmtId="1" fontId="5" fillId="0" borderId="368" xfId="0" applyNumberFormat="1" applyFont="1" applyFill="1" applyBorder="1" applyAlignment="1">
      <alignment horizontal="center" vertical="center" wrapText="1"/>
    </xf>
    <xf numFmtId="3" fontId="0" fillId="0" borderId="369" xfId="0" applyNumberFormat="1" applyFont="1" applyBorder="1" applyAlignment="1">
      <alignment horizontal="center" vertical="center"/>
    </xf>
    <xf numFmtId="3" fontId="47" fillId="0" borderId="221" xfId="0" applyNumberFormat="1" applyFont="1" applyBorder="1" applyAlignment="1">
      <alignment horizontal="center" vertical="center"/>
    </xf>
    <xf numFmtId="4" fontId="46" fillId="0" borderId="368" xfId="0" applyNumberFormat="1" applyFont="1" applyBorder="1" applyAlignment="1">
      <alignment horizontal="center" vertical="center"/>
    </xf>
    <xf numFmtId="0" fontId="39" fillId="0" borderId="370" xfId="0" applyFont="1" applyBorder="1" applyAlignment="1">
      <alignment horizontal="center" vertical="center"/>
    </xf>
    <xf numFmtId="1" fontId="9" fillId="0" borderId="0" xfId="0" applyNumberFormat="1" applyFont="1" applyBorder="1" applyAlignment="1">
      <alignment horizontal="left" vertical="center"/>
    </xf>
    <xf numFmtId="0" fontId="9" fillId="0" borderId="370" xfId="0" applyFont="1" applyBorder="1" applyAlignment="1">
      <alignment horizontal="center" vertical="center"/>
    </xf>
    <xf numFmtId="3" fontId="47" fillId="0" borderId="371" xfId="0" applyNumberFormat="1" applyFont="1" applyBorder="1" applyAlignment="1">
      <alignment horizontal="center" vertical="center"/>
    </xf>
    <xf numFmtId="10" fontId="10" fillId="0" borderId="372" xfId="59" applyNumberFormat="1" applyFont="1" applyFill="1" applyBorder="1" applyAlignment="1" applyProtection="1">
      <alignment horizontal="center" vertical="center"/>
      <protection/>
    </xf>
    <xf numFmtId="173" fontId="26" fillId="57" borderId="112" xfId="42" applyNumberFormat="1" applyFont="1" applyFill="1" applyBorder="1" applyAlignment="1" applyProtection="1">
      <alignment/>
      <protection/>
    </xf>
    <xf numFmtId="173" fontId="26" fillId="57" borderId="83" xfId="42" applyNumberFormat="1" applyFont="1" applyFill="1" applyBorder="1" applyAlignment="1" applyProtection="1">
      <alignment/>
      <protection/>
    </xf>
    <xf numFmtId="173" fontId="26" fillId="57" borderId="114" xfId="42" applyNumberFormat="1" applyFont="1" applyFill="1" applyBorder="1" applyAlignment="1" applyProtection="1">
      <alignment/>
      <protection/>
    </xf>
    <xf numFmtId="173" fontId="26" fillId="57" borderId="373" xfId="42" applyNumberFormat="1" applyFont="1" applyFill="1" applyBorder="1" applyAlignment="1" applyProtection="1">
      <alignment/>
      <protection/>
    </xf>
    <xf numFmtId="173" fontId="5" fillId="58" borderId="114" xfId="42" applyNumberFormat="1" applyFont="1" applyFill="1" applyBorder="1" applyAlignment="1" applyProtection="1">
      <alignment/>
      <protection/>
    </xf>
    <xf numFmtId="173" fontId="5" fillId="58" borderId="374" xfId="42" applyNumberFormat="1" applyFont="1" applyFill="1" applyBorder="1" applyAlignment="1" applyProtection="1">
      <alignment/>
      <protection/>
    </xf>
    <xf numFmtId="37" fontId="5" fillId="58" borderId="375" xfId="42" applyNumberFormat="1" applyFont="1" applyFill="1" applyBorder="1" applyAlignment="1" applyProtection="1">
      <alignment/>
      <protection/>
    </xf>
    <xf numFmtId="173" fontId="5" fillId="58" borderId="376" xfId="42" applyNumberFormat="1" applyFont="1" applyFill="1" applyBorder="1" applyAlignment="1" applyProtection="1">
      <alignment/>
      <protection/>
    </xf>
    <xf numFmtId="173" fontId="5" fillId="58" borderId="377" xfId="42" applyNumberFormat="1" applyFont="1" applyFill="1" applyBorder="1" applyAlignment="1" applyProtection="1">
      <alignment/>
      <protection/>
    </xf>
    <xf numFmtId="173" fontId="5" fillId="58" borderId="378" xfId="42" applyNumberFormat="1" applyFont="1" applyFill="1" applyBorder="1" applyAlignment="1" applyProtection="1">
      <alignment/>
      <protection/>
    </xf>
    <xf numFmtId="0" fontId="2" fillId="0" borderId="0" xfId="0" applyFont="1" applyBorder="1" applyAlignment="1">
      <alignment horizontal="center"/>
    </xf>
    <xf numFmtId="173" fontId="5" fillId="58" borderId="88" xfId="42" applyNumberFormat="1" applyFont="1" applyFill="1" applyBorder="1" applyAlignment="1" applyProtection="1">
      <alignment/>
      <protection/>
    </xf>
    <xf numFmtId="173" fontId="5" fillId="58" borderId="379" xfId="42" applyNumberFormat="1" applyFont="1" applyFill="1" applyBorder="1" applyAlignment="1" applyProtection="1">
      <alignment/>
      <protection/>
    </xf>
    <xf numFmtId="173" fontId="5" fillId="58" borderId="99" xfId="42" applyNumberFormat="1" applyFont="1" applyFill="1" applyBorder="1" applyAlignment="1" applyProtection="1">
      <alignment/>
      <protection/>
    </xf>
    <xf numFmtId="0" fontId="0" fillId="0" borderId="0" xfId="0" applyFont="1" applyAlignment="1">
      <alignment horizontal="center"/>
    </xf>
    <xf numFmtId="0" fontId="0" fillId="59" borderId="0" xfId="0" applyFont="1" applyFill="1" applyAlignment="1">
      <alignment horizontal="center"/>
    </xf>
    <xf numFmtId="182" fontId="31" fillId="0" borderId="0" xfId="42" applyNumberFormat="1" applyFont="1" applyFill="1" applyBorder="1" applyAlignment="1" applyProtection="1">
      <alignment horizontal="center" vertical="center"/>
      <protection/>
    </xf>
    <xf numFmtId="170" fontId="31" fillId="0" borderId="48" xfId="0" applyNumberFormat="1" applyFont="1" applyBorder="1" applyAlignment="1">
      <alignment horizontal="center" vertical="center"/>
    </xf>
    <xf numFmtId="2" fontId="5" fillId="0" borderId="48" xfId="0" applyNumberFormat="1" applyFont="1" applyBorder="1" applyAlignment="1">
      <alignment horizontal="center"/>
    </xf>
    <xf numFmtId="170" fontId="31" fillId="0" borderId="77" xfId="0" applyNumberFormat="1" applyFont="1" applyBorder="1" applyAlignment="1">
      <alignment horizontal="center" vertical="center"/>
    </xf>
    <xf numFmtId="173" fontId="31" fillId="0" borderId="0" xfId="42" applyNumberFormat="1" applyFont="1" applyFill="1" applyBorder="1" applyAlignment="1" applyProtection="1">
      <alignment horizontal="center" vertical="center"/>
      <protection/>
    </xf>
    <xf numFmtId="166" fontId="31" fillId="0" borderId="0" xfId="0" applyNumberFormat="1" applyFont="1" applyAlignment="1">
      <alignment horizontal="center" vertical="center"/>
    </xf>
    <xf numFmtId="182" fontId="0" fillId="0" borderId="0" xfId="42" applyNumberFormat="1" applyFont="1" applyFill="1" applyBorder="1" applyAlignment="1" applyProtection="1">
      <alignment horizontal="center"/>
      <protection/>
    </xf>
    <xf numFmtId="2" fontId="5" fillId="0" borderId="0" xfId="42" applyNumberFormat="1" applyFont="1" applyFill="1" applyBorder="1" applyAlignment="1" applyProtection="1">
      <alignment horizontal="center"/>
      <protection/>
    </xf>
    <xf numFmtId="166" fontId="0" fillId="0" borderId="0" xfId="0" applyNumberFormat="1" applyAlignment="1">
      <alignment horizontal="center"/>
    </xf>
    <xf numFmtId="184" fontId="0" fillId="0" borderId="0" xfId="42" applyNumberFormat="1" applyFont="1" applyFill="1" applyBorder="1" applyAlignment="1" applyProtection="1">
      <alignment horizontal="center"/>
      <protection/>
    </xf>
    <xf numFmtId="173" fontId="5" fillId="58" borderId="380" xfId="42" applyNumberFormat="1" applyFont="1" applyFill="1" applyBorder="1" applyAlignment="1" applyProtection="1">
      <alignment/>
      <protection/>
    </xf>
    <xf numFmtId="0" fontId="117" fillId="0" borderId="0" xfId="0" applyFont="1" applyAlignment="1">
      <alignment/>
    </xf>
    <xf numFmtId="0" fontId="149" fillId="0" borderId="381" xfId="0" applyFont="1" applyBorder="1" applyAlignment="1">
      <alignment horizontal="center" vertical="center" textRotation="180"/>
    </xf>
    <xf numFmtId="173" fontId="5" fillId="58" borderId="283" xfId="42" applyNumberFormat="1" applyFont="1" applyFill="1" applyBorder="1" applyAlignment="1" applyProtection="1">
      <alignment/>
      <protection/>
    </xf>
    <xf numFmtId="1" fontId="0" fillId="0" borderId="58" xfId="0" applyNumberFormat="1" applyBorder="1" applyAlignment="1">
      <alignment/>
    </xf>
    <xf numFmtId="0" fontId="0" fillId="0" borderId="382" xfId="0" applyBorder="1" applyAlignment="1">
      <alignment/>
    </xf>
    <xf numFmtId="2" fontId="7" fillId="0" borderId="0" xfId="0" applyNumberFormat="1" applyFont="1" applyAlignment="1">
      <alignment horizontal="center"/>
    </xf>
    <xf numFmtId="2" fontId="7" fillId="0" borderId="139" xfId="0" applyNumberFormat="1" applyFont="1" applyBorder="1" applyAlignment="1">
      <alignment horizontal="center"/>
    </xf>
    <xf numFmtId="2" fontId="7" fillId="0" borderId="0" xfId="0" applyNumberFormat="1" applyFont="1" applyBorder="1" applyAlignment="1">
      <alignment horizontal="center"/>
    </xf>
    <xf numFmtId="2" fontId="7" fillId="0" borderId="48" xfId="42" applyNumberFormat="1" applyFont="1" applyFill="1" applyBorder="1" applyAlignment="1" applyProtection="1">
      <alignment horizontal="center"/>
      <protection/>
    </xf>
    <xf numFmtId="2" fontId="7" fillId="0" borderId="48" xfId="0" applyNumberFormat="1" applyFont="1" applyBorder="1" applyAlignment="1">
      <alignment horizontal="center"/>
    </xf>
    <xf numFmtId="2" fontId="7" fillId="0" borderId="77" xfId="0" applyNumberFormat="1" applyFont="1" applyBorder="1" applyAlignment="1">
      <alignment horizontal="center"/>
    </xf>
    <xf numFmtId="0" fontId="3" fillId="0" borderId="0" xfId="0" applyFont="1" applyBorder="1" applyAlignment="1">
      <alignment horizontal="center"/>
    </xf>
    <xf numFmtId="182" fontId="0" fillId="0" borderId="0" xfId="42" applyNumberFormat="1" applyFont="1" applyFill="1" applyBorder="1" applyAlignment="1" applyProtection="1">
      <alignment horizontal="center"/>
      <protection/>
    </xf>
    <xf numFmtId="167" fontId="150" fillId="60" borderId="0" xfId="0" applyNumberFormat="1" applyFont="1" applyFill="1" applyBorder="1" applyAlignment="1">
      <alignment horizontal="center" vertical="center" wrapText="1"/>
    </xf>
    <xf numFmtId="164" fontId="150" fillId="60" borderId="0" xfId="0" applyNumberFormat="1" applyFont="1" applyFill="1" applyBorder="1" applyAlignment="1">
      <alignment horizontal="center" vertical="center" wrapText="1"/>
    </xf>
    <xf numFmtId="167" fontId="150" fillId="60" borderId="356" xfId="0" applyNumberFormat="1" applyFont="1" applyFill="1" applyBorder="1" applyAlignment="1">
      <alignment horizontal="center" vertical="center" wrapText="1"/>
    </xf>
    <xf numFmtId="164" fontId="150" fillId="60" borderId="356" xfId="0" applyNumberFormat="1" applyFont="1" applyFill="1" applyBorder="1" applyAlignment="1">
      <alignment horizontal="center" vertical="center" wrapText="1"/>
    </xf>
    <xf numFmtId="3" fontId="52" fillId="0" borderId="135" xfId="0" applyNumberFormat="1" applyFont="1" applyBorder="1" applyAlignment="1">
      <alignment horizontal="center" vertical="center"/>
    </xf>
    <xf numFmtId="175" fontId="30" fillId="51" borderId="131" xfId="0" applyNumberFormat="1" applyFont="1" applyFill="1" applyBorder="1" applyAlignment="1">
      <alignment horizontal="right" vertical="center" wrapText="1"/>
    </xf>
    <xf numFmtId="181" fontId="30" fillId="52" borderId="383" xfId="0" applyNumberFormat="1" applyFont="1" applyFill="1" applyBorder="1" applyAlignment="1">
      <alignment horizontal="right" vertical="center" wrapText="1"/>
    </xf>
    <xf numFmtId="2" fontId="39" fillId="60" borderId="384" xfId="0" applyNumberFormat="1" applyFont="1" applyFill="1" applyBorder="1" applyAlignment="1">
      <alignment horizontal="right" vertical="center" wrapText="1"/>
    </xf>
    <xf numFmtId="167" fontId="39" fillId="60" borderId="232" xfId="0" applyNumberFormat="1" applyFont="1" applyFill="1" applyBorder="1" applyAlignment="1">
      <alignment horizontal="center" vertical="center" wrapText="1"/>
    </xf>
    <xf numFmtId="3" fontId="39" fillId="60" borderId="232" xfId="0" applyNumberFormat="1" applyFont="1" applyFill="1" applyBorder="1" applyAlignment="1">
      <alignment horizontal="center" vertical="center" wrapText="1"/>
    </xf>
    <xf numFmtId="170" fontId="0" fillId="0" borderId="0" xfId="42" applyFont="1" applyFill="1" applyBorder="1" applyAlignment="1" applyProtection="1">
      <alignment horizontal="right" indent="1"/>
      <protection/>
    </xf>
    <xf numFmtId="0" fontId="7" fillId="0" borderId="0" xfId="0" applyFont="1" applyBorder="1" applyAlignment="1">
      <alignment horizontal="center"/>
    </xf>
    <xf numFmtId="0" fontId="7" fillId="0" borderId="0" xfId="0" applyFont="1" applyAlignment="1">
      <alignment horizontal="center"/>
    </xf>
    <xf numFmtId="37" fontId="26" fillId="57" borderId="385" xfId="42" applyNumberFormat="1" applyFont="1" applyFill="1" applyBorder="1" applyAlignment="1" applyProtection="1">
      <alignment/>
      <protection/>
    </xf>
    <xf numFmtId="173" fontId="26" fillId="57" borderId="386" xfId="42" applyNumberFormat="1" applyFont="1" applyFill="1" applyBorder="1" applyAlignment="1" applyProtection="1">
      <alignment/>
      <protection/>
    </xf>
    <xf numFmtId="173" fontId="26" fillId="57" borderId="387" xfId="42" applyNumberFormat="1" applyFont="1" applyFill="1" applyBorder="1" applyAlignment="1" applyProtection="1">
      <alignment/>
      <protection/>
    </xf>
    <xf numFmtId="173" fontId="26" fillId="57" borderId="388" xfId="42" applyNumberFormat="1" applyFont="1" applyFill="1" applyBorder="1" applyAlignment="1" applyProtection="1">
      <alignment/>
      <protection/>
    </xf>
    <xf numFmtId="173" fontId="26" fillId="57" borderId="389" xfId="42" applyNumberFormat="1" applyFont="1" applyFill="1" applyBorder="1" applyAlignment="1" applyProtection="1">
      <alignment/>
      <protection/>
    </xf>
    <xf numFmtId="2" fontId="122" fillId="60" borderId="0" xfId="0" applyNumberFormat="1" applyFont="1" applyFill="1" applyBorder="1" applyAlignment="1">
      <alignment horizontal="center" vertical="center" wrapText="1"/>
    </xf>
    <xf numFmtId="2" fontId="122" fillId="60" borderId="181" xfId="0" applyNumberFormat="1" applyFont="1" applyFill="1" applyBorder="1" applyAlignment="1">
      <alignment horizontal="center" vertical="center" wrapText="1"/>
    </xf>
    <xf numFmtId="2" fontId="122" fillId="60" borderId="390" xfId="0" applyNumberFormat="1" applyFont="1" applyFill="1" applyBorder="1" applyAlignment="1">
      <alignment horizontal="center" vertical="center" wrapText="1"/>
    </xf>
    <xf numFmtId="2" fontId="122" fillId="60" borderId="391" xfId="0" applyNumberFormat="1" applyFont="1" applyFill="1" applyBorder="1" applyAlignment="1">
      <alignment horizontal="center" vertical="center" wrapText="1"/>
    </xf>
    <xf numFmtId="0" fontId="0" fillId="39" borderId="392" xfId="0" applyFont="1" applyFill="1" applyBorder="1" applyAlignment="1">
      <alignment horizontal="center"/>
    </xf>
    <xf numFmtId="0" fontId="0" fillId="39" borderId="393" xfId="0" applyFont="1" applyFill="1" applyBorder="1" applyAlignment="1">
      <alignment horizontal="center"/>
    </xf>
    <xf numFmtId="0" fontId="0" fillId="39" borderId="394" xfId="0" applyFont="1" applyFill="1" applyBorder="1" applyAlignment="1">
      <alignment horizontal="center"/>
    </xf>
    <xf numFmtId="0" fontId="34" fillId="39" borderId="395" xfId="0" applyFont="1" applyFill="1" applyBorder="1" applyAlignment="1">
      <alignment horizontal="center" wrapText="1"/>
    </xf>
    <xf numFmtId="2" fontId="121" fillId="60" borderId="396" xfId="0" applyNumberFormat="1" applyFont="1" applyFill="1" applyBorder="1" applyAlignment="1">
      <alignment horizontal="center" vertical="center" wrapText="1"/>
    </xf>
    <xf numFmtId="2" fontId="39" fillId="61" borderId="397" xfId="0" applyNumberFormat="1" applyFont="1" applyFill="1" applyBorder="1" applyAlignment="1">
      <alignment horizontal="center" vertical="center" wrapText="1"/>
    </xf>
    <xf numFmtId="2" fontId="7" fillId="60" borderId="398" xfId="0" applyNumberFormat="1" applyFont="1" applyFill="1" applyBorder="1" applyAlignment="1">
      <alignment horizontal="center"/>
    </xf>
    <xf numFmtId="167" fontId="39" fillId="60" borderId="399" xfId="0" applyNumberFormat="1" applyFont="1" applyFill="1" applyBorder="1" applyAlignment="1">
      <alignment horizontal="center" vertical="center" wrapText="1"/>
    </xf>
    <xf numFmtId="3" fontId="39" fillId="60" borderId="399" xfId="0" applyNumberFormat="1" applyFont="1" applyFill="1" applyBorder="1" applyAlignment="1">
      <alignment horizontal="center" vertical="center" wrapText="1"/>
    </xf>
    <xf numFmtId="2" fontId="7" fillId="60" borderId="400" xfId="0" applyNumberFormat="1" applyFont="1" applyFill="1" applyBorder="1" applyAlignment="1">
      <alignment horizontal="center"/>
    </xf>
    <xf numFmtId="37" fontId="26" fillId="57" borderId="401" xfId="42" applyNumberFormat="1" applyFont="1" applyFill="1" applyBorder="1" applyAlignment="1" applyProtection="1">
      <alignment/>
      <protection/>
    </xf>
    <xf numFmtId="37" fontId="5" fillId="58" borderId="402" xfId="42" applyNumberFormat="1" applyFont="1" applyFill="1" applyBorder="1" applyAlignment="1" applyProtection="1">
      <alignment/>
      <protection/>
    </xf>
    <xf numFmtId="2" fontId="121" fillId="60" borderId="398" xfId="0" applyNumberFormat="1" applyFont="1" applyFill="1" applyBorder="1" applyAlignment="1">
      <alignment horizontal="center" vertical="center" wrapText="1"/>
    </xf>
    <xf numFmtId="2" fontId="39" fillId="60" borderId="397" xfId="0" applyNumberFormat="1" applyFont="1" applyFill="1" applyBorder="1" applyAlignment="1">
      <alignment horizontal="right" vertical="center" wrapText="1"/>
    </xf>
    <xf numFmtId="173" fontId="86" fillId="39" borderId="403" xfId="42" applyNumberFormat="1" applyFont="1" applyFill="1" applyBorder="1" applyAlignment="1" applyProtection="1">
      <alignment horizontal="center" vertical="center" wrapText="1"/>
      <protection/>
    </xf>
    <xf numFmtId="0" fontId="30" fillId="62" borderId="403" xfId="0" applyFont="1" applyFill="1" applyBorder="1" applyAlignment="1">
      <alignment horizontal="center" vertical="center" wrapText="1"/>
    </xf>
    <xf numFmtId="173" fontId="86" fillId="39" borderId="404" xfId="42" applyNumberFormat="1" applyFont="1" applyFill="1" applyBorder="1" applyAlignment="1" applyProtection="1">
      <alignment horizontal="center" vertical="center" wrapText="1"/>
      <protection/>
    </xf>
    <xf numFmtId="0" fontId="86" fillId="63" borderId="27" xfId="0" applyFont="1" applyFill="1" applyBorder="1" applyAlignment="1">
      <alignment horizontal="center" vertical="center" wrapText="1"/>
    </xf>
    <xf numFmtId="0" fontId="30" fillId="62" borderId="403" xfId="0" applyFont="1" applyFill="1" applyBorder="1" applyAlignment="1">
      <alignment horizontal="center" wrapText="1"/>
    </xf>
    <xf numFmtId="173" fontId="86" fillId="39" borderId="405" xfId="42" applyNumberFormat="1" applyFont="1" applyFill="1" applyBorder="1" applyAlignment="1" applyProtection="1">
      <alignment horizontal="center" wrapText="1"/>
      <protection/>
    </xf>
    <xf numFmtId="173" fontId="151" fillId="39" borderId="403" xfId="42" applyNumberFormat="1" applyFont="1" applyFill="1" applyBorder="1" applyAlignment="1" applyProtection="1">
      <alignment horizontal="center" vertical="center" wrapText="1"/>
      <protection/>
    </xf>
    <xf numFmtId="173" fontId="120" fillId="39" borderId="405" xfId="42" applyNumberFormat="1" applyFont="1" applyFill="1" applyBorder="1" applyAlignment="1" applyProtection="1">
      <alignment horizontal="center" vertical="center" wrapText="1"/>
      <protection/>
    </xf>
    <xf numFmtId="173" fontId="26" fillId="57" borderId="406" xfId="42" applyNumberFormat="1" applyFont="1" applyFill="1" applyBorder="1" applyAlignment="1" applyProtection="1">
      <alignment/>
      <protection/>
    </xf>
    <xf numFmtId="173" fontId="5" fillId="58" borderId="407" xfId="42" applyNumberFormat="1" applyFont="1" applyFill="1" applyBorder="1" applyAlignment="1" applyProtection="1">
      <alignment/>
      <protection/>
    </xf>
    <xf numFmtId="173" fontId="26" fillId="57" borderId="408" xfId="42" applyNumberFormat="1" applyFont="1" applyFill="1" applyBorder="1" applyAlignment="1" applyProtection="1">
      <alignment/>
      <protection/>
    </xf>
    <xf numFmtId="2" fontId="122" fillId="60" borderId="409" xfId="0" applyNumberFormat="1" applyFont="1" applyFill="1" applyBorder="1" applyAlignment="1">
      <alignment horizontal="center" vertical="center" wrapText="1"/>
    </xf>
    <xf numFmtId="170" fontId="31" fillId="0" borderId="410" xfId="0" applyNumberFormat="1" applyFont="1" applyBorder="1" applyAlignment="1">
      <alignment vertical="center"/>
    </xf>
    <xf numFmtId="2" fontId="7" fillId="0" borderId="411" xfId="0" applyNumberFormat="1" applyFont="1" applyBorder="1" applyAlignment="1">
      <alignment horizontal="center"/>
    </xf>
    <xf numFmtId="167" fontId="150" fillId="60" borderId="411" xfId="0" applyNumberFormat="1" applyFont="1" applyFill="1" applyBorder="1" applyAlignment="1">
      <alignment horizontal="center" vertical="center" wrapText="1"/>
    </xf>
    <xf numFmtId="164" fontId="150" fillId="60" borderId="411" xfId="0" applyNumberFormat="1" applyFont="1" applyFill="1" applyBorder="1" applyAlignment="1">
      <alignment horizontal="center" vertical="center" wrapText="1"/>
    </xf>
    <xf numFmtId="2" fontId="7" fillId="0" borderId="410" xfId="0" applyNumberFormat="1" applyFont="1" applyBorder="1" applyAlignment="1">
      <alignment horizontal="center"/>
    </xf>
    <xf numFmtId="170" fontId="31" fillId="0" borderId="410" xfId="0" applyNumberFormat="1" applyFont="1" applyBorder="1" applyAlignment="1">
      <alignment horizontal="center" vertical="center"/>
    </xf>
    <xf numFmtId="0" fontId="0" fillId="0" borderId="411" xfId="0" applyBorder="1" applyAlignment="1">
      <alignment/>
    </xf>
    <xf numFmtId="173" fontId="26" fillId="57" borderId="412" xfId="42" applyNumberFormat="1" applyFont="1" applyFill="1" applyBorder="1" applyAlignment="1" applyProtection="1">
      <alignment/>
      <protection/>
    </xf>
    <xf numFmtId="173" fontId="5" fillId="58" borderId="413" xfId="42" applyNumberFormat="1" applyFont="1" applyFill="1" applyBorder="1" applyAlignment="1" applyProtection="1">
      <alignment/>
      <protection/>
    </xf>
    <xf numFmtId="0" fontId="0" fillId="0" borderId="47" xfId="0" applyBorder="1" applyAlignment="1">
      <alignment horizontal="center"/>
    </xf>
    <xf numFmtId="3" fontId="51" fillId="0" borderId="414" xfId="0" applyNumberFormat="1" applyFont="1" applyBorder="1" applyAlignment="1">
      <alignment horizontal="center" vertical="center"/>
    </xf>
    <xf numFmtId="3" fontId="52" fillId="0" borderId="415" xfId="0" applyNumberFormat="1" applyFont="1" applyBorder="1" applyAlignment="1">
      <alignment horizontal="center" vertical="center"/>
    </xf>
    <xf numFmtId="181" fontId="53" fillId="0" borderId="415" xfId="0" applyNumberFormat="1" applyFont="1" applyBorder="1" applyAlignment="1">
      <alignment horizontal="center" vertical="center"/>
    </xf>
    <xf numFmtId="175" fontId="30" fillId="51" borderId="416" xfId="0" applyNumberFormat="1" applyFont="1" applyFill="1" applyBorder="1" applyAlignment="1">
      <alignment horizontal="right" vertical="center" wrapText="1"/>
    </xf>
    <xf numFmtId="181" fontId="30" fillId="52" borderId="417" xfId="0" applyNumberFormat="1" applyFont="1" applyFill="1" applyBorder="1" applyAlignment="1">
      <alignment horizontal="right" vertical="center" wrapText="1"/>
    </xf>
    <xf numFmtId="2" fontId="39" fillId="60" borderId="418" xfId="0" applyNumberFormat="1" applyFont="1" applyFill="1" applyBorder="1" applyAlignment="1">
      <alignment horizontal="right" vertical="center" wrapText="1"/>
    </xf>
    <xf numFmtId="3" fontId="51" fillId="0" borderId="419" xfId="0" applyNumberFormat="1" applyFont="1" applyBorder="1" applyAlignment="1">
      <alignment horizontal="center" vertical="center"/>
    </xf>
    <xf numFmtId="3" fontId="52" fillId="0" borderId="420" xfId="0" applyNumberFormat="1" applyFont="1" applyBorder="1" applyAlignment="1">
      <alignment horizontal="center" vertical="center"/>
    </xf>
    <xf numFmtId="181" fontId="53" fillId="0" borderId="420" xfId="0" applyNumberFormat="1" applyFont="1" applyBorder="1" applyAlignment="1">
      <alignment horizontal="center" vertical="center"/>
    </xf>
    <xf numFmtId="175" fontId="30" fillId="51" borderId="421" xfId="0" applyNumberFormat="1" applyFont="1" applyFill="1" applyBorder="1" applyAlignment="1">
      <alignment horizontal="right" vertical="center" wrapText="1"/>
    </xf>
    <xf numFmtId="181" fontId="30" fillId="52" borderId="422" xfId="0" applyNumberFormat="1" applyFont="1" applyFill="1" applyBorder="1" applyAlignment="1">
      <alignment horizontal="right" vertical="center" wrapText="1"/>
    </xf>
    <xf numFmtId="2" fontId="39" fillId="60" borderId="423" xfId="0" applyNumberFormat="1" applyFont="1" applyFill="1" applyBorder="1" applyAlignment="1">
      <alignment horizontal="right" vertical="center" wrapText="1"/>
    </xf>
    <xf numFmtId="167" fontId="39" fillId="60" borderId="424" xfId="0" applyNumberFormat="1" applyFont="1" applyFill="1" applyBorder="1" applyAlignment="1">
      <alignment horizontal="center" vertical="center" wrapText="1"/>
    </xf>
    <xf numFmtId="3" fontId="39" fillId="60" borderId="424" xfId="0" applyNumberFormat="1" applyFont="1" applyFill="1" applyBorder="1" applyAlignment="1">
      <alignment horizontal="center" vertical="center" wrapText="1"/>
    </xf>
    <xf numFmtId="3" fontId="144" fillId="0" borderId="415" xfId="0" applyNumberFormat="1" applyFont="1" applyBorder="1" applyAlignment="1">
      <alignment horizontal="center" vertical="center"/>
    </xf>
    <xf numFmtId="167" fontId="39" fillId="60" borderId="425" xfId="0" applyNumberFormat="1" applyFont="1" applyFill="1" applyBorder="1" applyAlignment="1">
      <alignment horizontal="center" vertical="center" wrapText="1"/>
    </xf>
    <xf numFmtId="3" fontId="39" fillId="60" borderId="425" xfId="0" applyNumberFormat="1" applyFont="1" applyFill="1" applyBorder="1" applyAlignment="1">
      <alignment horizontal="center" vertical="center" wrapText="1"/>
    </xf>
    <xf numFmtId="3" fontId="144" fillId="0" borderId="420" xfId="0" applyNumberFormat="1" applyFont="1" applyBorder="1" applyAlignment="1">
      <alignment horizontal="center" vertical="center"/>
    </xf>
    <xf numFmtId="0" fontId="51" fillId="0" borderId="414" xfId="0" applyNumberFormat="1" applyFont="1" applyBorder="1" applyAlignment="1">
      <alignment horizontal="center" vertical="center"/>
    </xf>
    <xf numFmtId="2" fontId="40" fillId="0" borderId="426" xfId="0" applyNumberFormat="1" applyFont="1" applyBorder="1" applyAlignment="1">
      <alignment horizontal="right" wrapText="1" indent="1"/>
    </xf>
    <xf numFmtId="2" fontId="40" fillId="0" borderId="427" xfId="0" applyNumberFormat="1" applyFont="1" applyBorder="1" applyAlignment="1">
      <alignment horizontal="right" wrapText="1" indent="1"/>
    </xf>
    <xf numFmtId="2" fontId="4" fillId="0" borderId="426" xfId="0" applyNumberFormat="1" applyFont="1" applyBorder="1" applyAlignment="1">
      <alignment horizontal="right" wrapText="1" indent="1"/>
    </xf>
    <xf numFmtId="2" fontId="4" fillId="0" borderId="428" xfId="0" applyNumberFormat="1" applyFont="1" applyBorder="1" applyAlignment="1">
      <alignment horizontal="right" wrapText="1" indent="1"/>
    </xf>
    <xf numFmtId="2" fontId="40" fillId="0" borderId="429" xfId="0" applyNumberFormat="1" applyFont="1" applyBorder="1" applyAlignment="1">
      <alignment horizontal="right" wrapText="1" indent="1"/>
    </xf>
    <xf numFmtId="2" fontId="40" fillId="0" borderId="430" xfId="0" applyNumberFormat="1" applyFont="1" applyBorder="1" applyAlignment="1">
      <alignment horizontal="right" wrapText="1" indent="1"/>
    </xf>
    <xf numFmtId="2" fontId="4" fillId="0" borderId="429" xfId="0" applyNumberFormat="1" applyFont="1" applyBorder="1" applyAlignment="1">
      <alignment horizontal="right" wrapText="1" indent="1"/>
    </xf>
    <xf numFmtId="2" fontId="4" fillId="0" borderId="431" xfId="0" applyNumberFormat="1" applyFont="1" applyBorder="1" applyAlignment="1">
      <alignment horizontal="right" wrapText="1" indent="1"/>
    </xf>
    <xf numFmtId="0" fontId="50" fillId="39" borderId="432" xfId="0" applyFont="1" applyFill="1" applyBorder="1" applyAlignment="1">
      <alignment horizontal="center" wrapText="1"/>
    </xf>
    <xf numFmtId="0" fontId="32" fillId="39" borderId="433" xfId="0" applyFont="1" applyFill="1" applyBorder="1" applyAlignment="1">
      <alignment horizontal="center" wrapText="1"/>
    </xf>
    <xf numFmtId="0" fontId="32" fillId="39" borderId="434" xfId="0" applyFont="1" applyFill="1" applyBorder="1" applyAlignment="1">
      <alignment horizontal="center" wrapText="1"/>
    </xf>
    <xf numFmtId="0" fontId="32" fillId="39" borderId="435" xfId="0" applyFont="1" applyFill="1" applyBorder="1" applyAlignment="1">
      <alignment horizontal="center" wrapText="1"/>
    </xf>
    <xf numFmtId="0" fontId="32" fillId="39" borderId="382" xfId="0" applyFont="1" applyFill="1" applyBorder="1" applyAlignment="1">
      <alignment horizontal="center" wrapText="1"/>
    </xf>
    <xf numFmtId="0" fontId="57" fillId="63" borderId="436" xfId="0" applyFont="1" applyFill="1" applyBorder="1" applyAlignment="1">
      <alignment horizontal="center" vertical="center" wrapText="1"/>
    </xf>
    <xf numFmtId="0" fontId="36" fillId="62" borderId="437" xfId="0" applyFont="1" applyFill="1" applyBorder="1" applyAlignment="1">
      <alignment horizontal="center" vertical="center" wrapText="1"/>
    </xf>
    <xf numFmtId="173" fontId="57" fillId="39" borderId="438" xfId="42" applyNumberFormat="1" applyFont="1" applyFill="1" applyBorder="1" applyAlignment="1" applyProtection="1">
      <alignment horizontal="center" vertical="center" wrapText="1"/>
      <protection/>
    </xf>
    <xf numFmtId="173" fontId="116" fillId="39" borderId="439" xfId="42" applyNumberFormat="1" applyFont="1" applyFill="1" applyBorder="1" applyAlignment="1" applyProtection="1">
      <alignment horizontal="center" vertical="center" wrapText="1"/>
      <protection/>
    </xf>
    <xf numFmtId="0" fontId="32" fillId="62" borderId="440" xfId="0" applyFont="1" applyFill="1" applyBorder="1" applyAlignment="1">
      <alignment horizontal="center" vertical="center" wrapText="1"/>
    </xf>
    <xf numFmtId="0" fontId="50" fillId="39" borderId="439" xfId="0" applyFont="1" applyFill="1" applyBorder="1" applyAlignment="1">
      <alignment horizontal="center" wrapText="1"/>
    </xf>
    <xf numFmtId="0" fontId="50" fillId="39" borderId="382" xfId="0" applyFont="1" applyFill="1" applyBorder="1" applyAlignment="1">
      <alignment horizontal="center" wrapText="1"/>
    </xf>
    <xf numFmtId="0" fontId="50" fillId="39" borderId="441" xfId="0" applyFont="1" applyFill="1" applyBorder="1" applyAlignment="1">
      <alignment horizontal="center" wrapText="1"/>
    </xf>
    <xf numFmtId="0" fontId="50" fillId="39" borderId="442" xfId="0" applyFont="1" applyFill="1" applyBorder="1" applyAlignment="1">
      <alignment horizontal="center" wrapText="1"/>
    </xf>
    <xf numFmtId="0" fontId="50" fillId="39" borderId="443" xfId="0" applyFont="1" applyFill="1" applyBorder="1" applyAlignment="1">
      <alignment horizontal="center" wrapText="1"/>
    </xf>
    <xf numFmtId="164" fontId="40" fillId="0" borderId="429" xfId="0" applyNumberFormat="1" applyFont="1" applyBorder="1" applyAlignment="1">
      <alignment horizontal="right" wrapText="1" indent="1"/>
    </xf>
    <xf numFmtId="164" fontId="40" fillId="0" borderId="430" xfId="0" applyNumberFormat="1" applyFont="1" applyBorder="1" applyAlignment="1">
      <alignment horizontal="right" wrapText="1" indent="1"/>
    </xf>
    <xf numFmtId="164" fontId="4" fillId="0" borderId="429" xfId="0" applyNumberFormat="1" applyFont="1" applyBorder="1" applyAlignment="1">
      <alignment horizontal="right" wrapText="1" indent="1"/>
    </xf>
    <xf numFmtId="164" fontId="4" fillId="0" borderId="431" xfId="0" applyNumberFormat="1" applyFont="1" applyBorder="1" applyAlignment="1">
      <alignment horizontal="right" wrapText="1" indent="1"/>
    </xf>
    <xf numFmtId="2" fontId="40" fillId="0" borderId="444" xfId="0" applyNumberFormat="1" applyFont="1" applyBorder="1" applyAlignment="1">
      <alignment horizontal="right" wrapText="1" indent="1"/>
    </xf>
    <xf numFmtId="2" fontId="39" fillId="60" borderId="425" xfId="0" applyNumberFormat="1" applyFont="1" applyFill="1" applyBorder="1" applyAlignment="1">
      <alignment horizontal="center" vertical="center" wrapText="1"/>
    </xf>
    <xf numFmtId="2" fontId="39" fillId="60" borderId="424" xfId="0" applyNumberFormat="1" applyFont="1" applyFill="1" applyBorder="1" applyAlignment="1">
      <alignment horizontal="center" vertical="center" wrapText="1"/>
    </xf>
    <xf numFmtId="2" fontId="39" fillId="60" borderId="232" xfId="0" applyNumberFormat="1" applyFont="1" applyFill="1" applyBorder="1" applyAlignment="1">
      <alignment horizontal="center" vertical="center" wrapText="1"/>
    </xf>
    <xf numFmtId="2" fontId="39" fillId="60" borderId="399" xfId="0" applyNumberFormat="1" applyFont="1" applyFill="1" applyBorder="1" applyAlignment="1">
      <alignment horizontal="center" vertical="center" wrapText="1"/>
    </xf>
    <xf numFmtId="2" fontId="150" fillId="60" borderId="0" xfId="0" applyNumberFormat="1" applyFont="1" applyFill="1" applyBorder="1" applyAlignment="1">
      <alignment horizontal="center" vertical="center" wrapText="1"/>
    </xf>
    <xf numFmtId="2" fontId="150" fillId="60" borderId="356" xfId="0" applyNumberFormat="1" applyFont="1" applyFill="1" applyBorder="1" applyAlignment="1">
      <alignment horizontal="center" vertical="center" wrapText="1"/>
    </xf>
    <xf numFmtId="2" fontId="150" fillId="60" borderId="411" xfId="0" applyNumberFormat="1" applyFont="1" applyFill="1" applyBorder="1" applyAlignment="1">
      <alignment horizontal="center" vertical="center" wrapText="1"/>
    </xf>
    <xf numFmtId="164" fontId="39" fillId="60" borderId="399" xfId="0" applyNumberFormat="1" applyFont="1" applyFill="1" applyBorder="1" applyAlignment="1">
      <alignment horizontal="center" vertical="center" wrapText="1"/>
    </xf>
    <xf numFmtId="0" fontId="10" fillId="0" borderId="112" xfId="0" applyFont="1" applyBorder="1" applyAlignment="1" quotePrefix="1">
      <alignment/>
    </xf>
    <xf numFmtId="0" fontId="10" fillId="0" borderId="83" xfId="0" applyFont="1" applyBorder="1" applyAlignment="1" quotePrefix="1">
      <alignment/>
    </xf>
    <xf numFmtId="0" fontId="49" fillId="0" borderId="80" xfId="53" applyNumberFormat="1" applyFont="1" applyFill="1" applyBorder="1" applyAlignment="1" applyProtection="1">
      <alignment vertical="center" wrapText="1"/>
      <protection/>
    </xf>
    <xf numFmtId="0" fontId="0" fillId="0" borderId="374" xfId="0" applyBorder="1" applyAlignment="1">
      <alignment/>
    </xf>
    <xf numFmtId="0" fontId="49" fillId="0" borderId="445" xfId="53" applyNumberFormat="1" applyFont="1" applyFill="1" applyBorder="1" applyAlignment="1" applyProtection="1">
      <alignment vertical="center" wrapText="1"/>
      <protection/>
    </xf>
    <xf numFmtId="0" fontId="49" fillId="0" borderId="446" xfId="53" applyNumberFormat="1" applyFont="1" applyFill="1" applyBorder="1" applyAlignment="1" applyProtection="1">
      <alignment vertical="top" wrapText="1"/>
      <protection/>
    </xf>
    <xf numFmtId="0" fontId="10" fillId="0" borderId="447" xfId="0" applyFont="1" applyBorder="1" applyAlignment="1">
      <alignment horizontal="left" vertical="center" wrapText="1"/>
    </xf>
    <xf numFmtId="0" fontId="10" fillId="0" borderId="448" xfId="0" applyFont="1" applyBorder="1" applyAlignment="1">
      <alignment horizontal="left" vertical="center" wrapText="1"/>
    </xf>
    <xf numFmtId="0" fontId="10" fillId="0" borderId="449" xfId="0" applyFont="1" applyBorder="1" applyAlignment="1">
      <alignment horizontal="left" vertical="top" wrapText="1"/>
    </xf>
    <xf numFmtId="0" fontId="10" fillId="0" borderId="450" xfId="0" applyFont="1" applyBorder="1" applyAlignment="1">
      <alignment horizontal="left" vertical="top" wrapText="1"/>
    </xf>
    <xf numFmtId="0" fontId="10" fillId="0" borderId="451" xfId="0" applyFont="1" applyBorder="1" applyAlignment="1">
      <alignment horizontal="left" vertical="top" wrapText="1"/>
    </xf>
    <xf numFmtId="0" fontId="10" fillId="0" borderId="356" xfId="0" applyFont="1" applyBorder="1" applyAlignment="1">
      <alignment horizontal="left" wrapText="1"/>
    </xf>
    <xf numFmtId="0" fontId="49" fillId="0" borderId="452" xfId="53" applyNumberFormat="1" applyFont="1" applyFill="1" applyBorder="1" applyAlignment="1" applyProtection="1">
      <alignment horizontal="left" vertical="center" wrapText="1"/>
      <protection/>
    </xf>
    <xf numFmtId="0" fontId="49" fillId="0" borderId="453" xfId="53" applyNumberFormat="1" applyFont="1" applyFill="1" applyBorder="1" applyAlignment="1" applyProtection="1">
      <alignment horizontal="left" vertical="center" wrapText="1"/>
      <protection/>
    </xf>
    <xf numFmtId="0" fontId="49" fillId="0" borderId="454" xfId="53" applyNumberFormat="1" applyFont="1" applyFill="1" applyBorder="1" applyAlignment="1" applyProtection="1">
      <alignment horizontal="left" vertical="center" wrapText="1"/>
      <protection/>
    </xf>
    <xf numFmtId="173" fontId="10" fillId="0" borderId="449" xfId="42" applyNumberFormat="1" applyFont="1" applyFill="1" applyBorder="1" applyAlignment="1" applyProtection="1">
      <alignment horizontal="left" vertical="top" wrapText="1"/>
      <protection/>
    </xf>
    <xf numFmtId="173" fontId="10" fillId="0" borderId="450" xfId="42" applyNumberFormat="1" applyFont="1" applyFill="1" applyBorder="1" applyAlignment="1" applyProtection="1">
      <alignment horizontal="left" vertical="top" wrapText="1"/>
      <protection/>
    </xf>
    <xf numFmtId="173" fontId="10" fillId="0" borderId="451" xfId="42" applyNumberFormat="1" applyFont="1" applyFill="1" applyBorder="1" applyAlignment="1" applyProtection="1">
      <alignment horizontal="left" vertical="top" wrapText="1"/>
      <protection/>
    </xf>
    <xf numFmtId="173" fontId="10" fillId="0" borderId="374" xfId="42" applyNumberFormat="1" applyFont="1" applyFill="1" applyBorder="1" applyAlignment="1" applyProtection="1">
      <alignment vertical="top" wrapText="1"/>
      <protection/>
    </xf>
    <xf numFmtId="173" fontId="10" fillId="0" borderId="163" xfId="42" applyNumberFormat="1" applyFont="1" applyFill="1" applyBorder="1" applyAlignment="1" applyProtection="1">
      <alignment vertical="top" wrapText="1"/>
      <protection/>
    </xf>
    <xf numFmtId="173" fontId="10" fillId="0" borderId="112" xfId="42" applyNumberFormat="1" applyFont="1" applyFill="1" applyBorder="1" applyAlignment="1" applyProtection="1">
      <alignment vertical="top" wrapText="1"/>
      <protection/>
    </xf>
    <xf numFmtId="173" fontId="10" fillId="0" borderId="355" xfId="42" applyNumberFormat="1" applyFont="1" applyFill="1" applyBorder="1" applyAlignment="1" applyProtection="1">
      <alignment horizontal="left" vertical="top" wrapText="1"/>
      <protection/>
    </xf>
    <xf numFmtId="173" fontId="10" fillId="0" borderId="356" xfId="42" applyNumberFormat="1" applyFont="1" applyFill="1" applyBorder="1" applyAlignment="1" applyProtection="1">
      <alignment horizontal="left" vertical="top" wrapText="1"/>
      <protection/>
    </xf>
    <xf numFmtId="173" fontId="10" fillId="0" borderId="357" xfId="42" applyNumberFormat="1" applyFont="1" applyFill="1" applyBorder="1" applyAlignment="1" applyProtection="1">
      <alignment horizontal="left" vertical="top" wrapText="1"/>
      <protection/>
    </xf>
    <xf numFmtId="0" fontId="0" fillId="0" borderId="116" xfId="0" applyBorder="1" applyAlignment="1">
      <alignment horizontal="left" vertical="top"/>
    </xf>
    <xf numFmtId="0" fontId="0" fillId="0" borderId="455" xfId="0" applyBorder="1" applyAlignment="1">
      <alignment horizontal="left" vertical="top"/>
    </xf>
    <xf numFmtId="3" fontId="40" fillId="0" borderId="129" xfId="0" applyNumberFormat="1" applyFont="1" applyBorder="1" applyAlignment="1">
      <alignment horizontal="center" wrapText="1"/>
    </xf>
    <xf numFmtId="1" fontId="36" fillId="0" borderId="456" xfId="0" applyNumberFormat="1" applyFont="1" applyBorder="1" applyAlignment="1">
      <alignment horizontal="center" wrapText="1"/>
    </xf>
    <xf numFmtId="0" fontId="0" fillId="0" borderId="12" xfId="0" applyFont="1" applyBorder="1" applyAlignment="1">
      <alignment/>
    </xf>
    <xf numFmtId="0" fontId="34" fillId="39" borderId="24" xfId="0" applyFont="1" applyFill="1" applyBorder="1" applyAlignment="1">
      <alignment horizontal="center" wrapText="1"/>
    </xf>
    <xf numFmtId="0" fontId="0" fillId="0" borderId="58" xfId="0" applyFont="1" applyBorder="1" applyAlignment="1">
      <alignment/>
    </xf>
    <xf numFmtId="0" fontId="0" fillId="0" borderId="88" xfId="0" applyFont="1" applyBorder="1" applyAlignment="1">
      <alignment/>
    </xf>
    <xf numFmtId="2" fontId="123" fillId="0" borderId="164" xfId="0" applyNumberFormat="1" applyFont="1" applyBorder="1" applyAlignment="1">
      <alignment horizontal="center" wrapText="1"/>
    </xf>
    <xf numFmtId="0" fontId="40" fillId="0" borderId="129" xfId="0" applyFont="1" applyBorder="1" applyAlignment="1">
      <alignment horizontal="center" wrapText="1"/>
    </xf>
    <xf numFmtId="0" fontId="40" fillId="60" borderId="278" xfId="0" applyFont="1" applyFill="1" applyBorder="1" applyAlignment="1">
      <alignment horizontal="center" wrapText="1"/>
    </xf>
    <xf numFmtId="0" fontId="36" fillId="60" borderId="457" xfId="0" applyFont="1" applyFill="1" applyBorder="1" applyAlignment="1">
      <alignment horizontal="center" wrapText="1"/>
    </xf>
    <xf numFmtId="2" fontId="123" fillId="60" borderId="458" xfId="0" applyNumberFormat="1" applyFont="1" applyFill="1" applyBorder="1" applyAlignment="1">
      <alignment horizontal="center" wrapText="1"/>
    </xf>
    <xf numFmtId="3" fontId="40" fillId="0" borderId="416" xfId="0" applyNumberFormat="1" applyFont="1" applyBorder="1" applyAlignment="1">
      <alignment horizontal="center" wrapText="1"/>
    </xf>
    <xf numFmtId="1" fontId="36" fillId="0" borderId="417" xfId="0" applyNumberFormat="1" applyFont="1" applyBorder="1" applyAlignment="1">
      <alignment horizontal="center" wrapText="1"/>
    </xf>
    <xf numFmtId="2" fontId="123" fillId="0" borderId="415" xfId="0" applyNumberFormat="1" applyFont="1" applyBorder="1" applyAlignment="1">
      <alignment horizontal="center" wrapText="1"/>
    </xf>
    <xf numFmtId="2" fontId="123" fillId="0" borderId="459" xfId="0" applyNumberFormat="1" applyFont="1" applyBorder="1" applyAlignment="1">
      <alignment horizontal="center" wrapText="1"/>
    </xf>
    <xf numFmtId="0" fontId="10" fillId="0" borderId="67" xfId="0" applyFont="1" applyBorder="1" applyAlignment="1">
      <alignment horizontal="left" vertical="center" wrapText="1"/>
    </xf>
    <xf numFmtId="0" fontId="9" fillId="0" borderId="460" xfId="0" applyFont="1" applyBorder="1" applyAlignment="1">
      <alignment horizontal="left" wrapText="1"/>
    </xf>
    <xf numFmtId="0" fontId="10" fillId="0" borderId="232" xfId="0" applyFont="1" applyBorder="1" applyAlignment="1">
      <alignment horizontal="left" vertical="top"/>
    </xf>
    <xf numFmtId="0" fontId="9" fillId="0" borderId="425"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font>
        <b/>
        <i val="0"/>
        <color theme="5" tint="-0.24993999302387238"/>
      </font>
    </dxf>
    <dxf>
      <font>
        <b/>
        <i val="0"/>
        <color theme="5" tint="-0.24993999302387238"/>
      </font>
    </dxf>
    <dxf>
      <font>
        <b/>
        <i val="0"/>
        <color theme="5" tint="-0.4999699890613556"/>
      </font>
    </dxf>
    <dxf>
      <font>
        <b/>
        <i val="0"/>
        <color theme="5" tint="-0.4999699890613556"/>
      </font>
    </dxf>
    <dxf>
      <font>
        <b/>
        <i val="0"/>
        <color theme="5" tint="-0.4999699890613556"/>
      </font>
    </dxf>
    <dxf>
      <font>
        <b/>
        <i val="0"/>
        <color theme="5" tint="-0.4999699890613556"/>
      </font>
    </dxf>
    <dxf>
      <font>
        <b/>
        <i val="0"/>
        <color theme="5" tint="-0.4999699890613556"/>
      </font>
    </dxf>
    <dxf>
      <font>
        <b/>
        <i val="0"/>
        <color theme="5" tint="-0.4999699890613556"/>
      </font>
    </dxf>
    <dxf>
      <font>
        <b/>
        <i val="0"/>
        <color theme="5" tint="-0.4999699890613556"/>
      </font>
    </dxf>
    <dxf>
      <font>
        <b/>
        <i val="0"/>
        <color theme="5" tint="-0.4999699890613556"/>
      </font>
    </dxf>
    <dxf>
      <font>
        <b/>
        <i val="0"/>
        <color theme="5" tint="-0.24993999302387238"/>
      </font>
    </dxf>
    <dxf>
      <font>
        <b val="0"/>
        <sz val="11"/>
        <color indexed="8"/>
      </font>
      <fill>
        <patternFill patternType="solid">
          <fgColor indexed="45"/>
          <bgColor indexed="29"/>
        </patternFill>
      </fill>
    </dxf>
    <dxf>
      <font>
        <b val="0"/>
        <sz val="11"/>
        <color indexed="20"/>
      </font>
      <fill>
        <patternFill patternType="solid">
          <fgColor indexed="29"/>
          <bgColor indexed="45"/>
        </patternFill>
      </fill>
    </dxf>
    <dxf>
      <font>
        <b val="0"/>
        <sz val="11"/>
        <color indexed="20"/>
      </font>
      <fill>
        <patternFill patternType="solid">
          <fgColor indexed="29"/>
          <bgColor indexed="45"/>
        </patternFill>
      </fill>
    </dxf>
    <dxf>
      <font>
        <b val="0"/>
        <sz val="11"/>
        <color indexed="60"/>
      </font>
      <fill>
        <patternFill patternType="solid">
          <fgColor indexed="26"/>
          <bgColor indexed="43"/>
        </patternFill>
      </fill>
    </dxf>
    <dxf>
      <font>
        <b val="0"/>
        <sz val="11"/>
        <color rgb="FF993300"/>
      </font>
      <fill>
        <patternFill patternType="solid">
          <fgColor rgb="FFFFFFCC"/>
          <bgColor rgb="FFFFFF99"/>
        </patternFill>
      </fill>
      <border/>
    </dxf>
    <dxf>
      <font>
        <b val="0"/>
        <sz val="11"/>
        <color rgb="FF800080"/>
      </font>
      <fill>
        <patternFill patternType="solid">
          <fgColor rgb="FFFF8080"/>
          <bgColor rgb="FFFF99CC"/>
        </patternFill>
      </fill>
      <border/>
    </dxf>
    <dxf>
      <font>
        <b val="0"/>
        <sz val="11"/>
        <color rgb="FF000000"/>
      </font>
      <fill>
        <patternFill patternType="solid">
          <fgColor rgb="FFFF99CC"/>
          <bgColor rgb="FFFF8080"/>
        </patternFill>
      </fill>
      <border/>
    </dxf>
    <dxf>
      <font>
        <b/>
        <i val="0"/>
        <color theme="5" tint="-0.24993999302387238"/>
      </font>
      <border/>
    </dxf>
    <dxf>
      <font>
        <b/>
        <i val="0"/>
        <color theme="5" tint="-0.499969989061355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B8B8B8"/>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me.com/gyatt/atmosculator/The%20Standard%20Atmosphere.html" TargetMode="External" /><Relationship Id="rId2" Type="http://schemas.openxmlformats.org/officeDocument/2006/relationships/hyperlink" Target="http://en.wikipedia.org/wiki/U.S._Standard_Atmosphere" TargetMode="External" /><Relationship Id="rId3" Type="http://schemas.openxmlformats.org/officeDocument/2006/relationships/hyperlink" Target="http://en.wikipedia.org/wiki/Atmospheric_pressure" TargetMode="External" /><Relationship Id="rId4" Type="http://schemas.openxmlformats.org/officeDocument/2006/relationships/hyperlink" Target="http://en.wikipedia.org/wiki/International_Standard_Atmosphere" TargetMode="External" /><Relationship Id="rId5" Type="http://schemas.openxmlformats.org/officeDocument/2006/relationships/hyperlink" Target="http://en.wikipedia.org/wiki/Atmospheric_models"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eather.noaa.gov/fax/nwsfax.html" TargetMode="External" /><Relationship Id="rId2" Type="http://schemas.openxmlformats.org/officeDocument/2006/relationships/hyperlink" Target="http://weather.noaa.gov/fax/gtsstd.shtml" TargetMode="External" /><Relationship Id="rId3" Type="http://schemas.openxmlformats.org/officeDocument/2006/relationships/hyperlink" Target="http://weather.noaa.gov/fax/wafsfax.shtml" TargetMode="External" /><Relationship Id="rId4" Type="http://schemas.openxmlformats.org/officeDocument/2006/relationships/hyperlink" Target="http://jeppesen.com/aviation/personal/aviation-weather.jsp" TargetMode="Externa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23"/>
  <sheetViews>
    <sheetView showGridLines="0" zoomScalePageLayoutView="0" workbookViewId="0" topLeftCell="A1">
      <selection activeCell="A1" sqref="A1:K1"/>
    </sheetView>
  </sheetViews>
  <sheetFormatPr defaultColWidth="9.140625" defaultRowHeight="15"/>
  <cols>
    <col min="1" max="1" width="10.7109375" style="0" customWidth="1"/>
    <col min="2" max="10" width="11.7109375" style="0" customWidth="1"/>
    <col min="11" max="11" width="8.421875" style="0" bestFit="1" customWidth="1"/>
    <col min="12" max="16" width="10.7109375" style="0" customWidth="1"/>
  </cols>
  <sheetData>
    <row r="1" spans="1:11" s="2" customFormat="1" ht="18.75">
      <c r="A1" s="1045" t="s">
        <v>0</v>
      </c>
      <c r="B1" s="1045"/>
      <c r="C1" s="1045"/>
      <c r="D1" s="1045"/>
      <c r="E1" s="1045"/>
      <c r="F1" s="1045"/>
      <c r="G1" s="1045"/>
      <c r="H1" s="1045"/>
      <c r="I1" s="1045"/>
      <c r="J1" s="1045"/>
      <c r="K1" s="1045"/>
    </row>
    <row r="2" spans="1:6" ht="15">
      <c r="A2" s="1048" t="s">
        <v>1</v>
      </c>
      <c r="B2" s="1049"/>
      <c r="C2" s="1049"/>
      <c r="D2" s="1049"/>
      <c r="E2" s="1049"/>
      <c r="F2" s="1049"/>
    </row>
    <row r="3" spans="1:6" ht="15">
      <c r="A3" s="3" t="s">
        <v>2</v>
      </c>
      <c r="B3" s="4"/>
      <c r="C3" s="4"/>
      <c r="D3" s="4"/>
      <c r="E3" s="4"/>
      <c r="F3" s="4"/>
    </row>
    <row r="4" spans="2:10" ht="15.75">
      <c r="B4" s="5"/>
      <c r="C4" s="5"/>
      <c r="D4" s="5"/>
      <c r="E4" s="5"/>
      <c r="F4" s="5"/>
      <c r="G4" s="5"/>
      <c r="H4" s="5"/>
      <c r="I4" s="5"/>
      <c r="J4" s="5"/>
    </row>
    <row r="5" spans="1:11" ht="15">
      <c r="A5" s="3" t="s">
        <v>3</v>
      </c>
      <c r="B5" s="6"/>
      <c r="C5" s="6"/>
      <c r="D5" s="7"/>
      <c r="E5" s="1050" t="s">
        <v>4</v>
      </c>
      <c r="F5" s="1050"/>
      <c r="G5" s="1034" t="s">
        <v>5</v>
      </c>
      <c r="H5" s="1051" t="s">
        <v>6</v>
      </c>
      <c r="I5" s="1034" t="s">
        <v>7</v>
      </c>
      <c r="J5" s="1034"/>
      <c r="K5" s="1037" t="s">
        <v>69</v>
      </c>
    </row>
    <row r="6" spans="1:11" ht="15">
      <c r="A6" s="8"/>
      <c r="B6" s="9"/>
      <c r="C6" s="9"/>
      <c r="D6" s="10"/>
      <c r="E6" s="11" t="s">
        <v>8</v>
      </c>
      <c r="F6" s="12" t="s">
        <v>9</v>
      </c>
      <c r="G6" s="1034"/>
      <c r="H6" s="1051"/>
      <c r="I6" s="1035" t="s">
        <v>360</v>
      </c>
      <c r="J6" s="1035"/>
      <c r="K6" s="1037"/>
    </row>
    <row r="7" spans="1:11" ht="15">
      <c r="A7" s="1038" t="s">
        <v>10</v>
      </c>
      <c r="B7" s="1039"/>
      <c r="C7" s="1039"/>
      <c r="D7" s="1039"/>
      <c r="E7" s="1039"/>
      <c r="F7" s="1039"/>
      <c r="G7" s="1039"/>
      <c r="H7" s="1039"/>
      <c r="I7" s="1039"/>
      <c r="J7" s="1039"/>
      <c r="K7" s="1040"/>
    </row>
    <row r="8" spans="1:11" ht="15">
      <c r="A8" s="13" t="s">
        <v>11</v>
      </c>
      <c r="B8" s="13" t="s">
        <v>12</v>
      </c>
      <c r="C8" s="1037" t="s">
        <v>13</v>
      </c>
      <c r="D8" s="1037"/>
      <c r="E8" s="14" t="s">
        <v>374</v>
      </c>
      <c r="F8" s="15" t="s">
        <v>375</v>
      </c>
      <c r="G8" s="16" t="s">
        <v>376</v>
      </c>
      <c r="H8" s="15" t="s">
        <v>377</v>
      </c>
      <c r="I8" s="949" t="s">
        <v>14</v>
      </c>
      <c r="J8" s="948" t="s">
        <v>15</v>
      </c>
      <c r="K8" s="818"/>
    </row>
    <row r="9" spans="1:11" ht="15">
      <c r="A9" s="17">
        <v>0</v>
      </c>
      <c r="B9" s="828" t="s">
        <v>16</v>
      </c>
      <c r="C9" s="1044" t="str">
        <f>CONCATENATE("0 (MSL) to ",TEXT(MROUND(E10,1000),"#,###")," ft.")</f>
        <v>0 (MSL) to 36,000 ft.</v>
      </c>
      <c r="D9" s="1044"/>
      <c r="E9" s="18">
        <v>0</v>
      </c>
      <c r="F9" s="19">
        <f>F19*Conversions!$B$23</f>
        <v>0</v>
      </c>
      <c r="G9" s="20">
        <f aca="true" t="shared" si="0" ref="G9:G16">G19/100</f>
        <v>1013.25</v>
      </c>
      <c r="H9" s="21">
        <f aca="true" t="shared" si="1" ref="H9:H16">((9/5)*H19)+32</f>
        <v>59</v>
      </c>
      <c r="I9" s="950">
        <f aca="true" t="shared" si="2" ref="I9:I15">(J9*9/5)</f>
        <v>-3.5661609728487136</v>
      </c>
      <c r="J9" s="22">
        <f>I19/Conversions!$B$23*1000</f>
        <v>-1.9812005404715076</v>
      </c>
      <c r="K9" s="81">
        <v>1</v>
      </c>
    </row>
    <row r="10" spans="1:11" ht="15">
      <c r="A10" s="23">
        <v>1</v>
      </c>
      <c r="B10" s="829" t="s">
        <v>17</v>
      </c>
      <c r="C10" s="1033" t="str">
        <f aca="true" t="shared" si="3" ref="C10:C15">CONCATENATE(TEXT(MROUND(E10,1000),"#,###")," to ",TEXT(MROUND(E11,1000),"#,###")," ft.")</f>
        <v>36,000 to 66,000 ft.</v>
      </c>
      <c r="D10" s="1033"/>
      <c r="E10" s="24">
        <v>36089.2</v>
      </c>
      <c r="F10" s="24">
        <f>F20*Conversions!$B$23</f>
        <v>36151.564941</v>
      </c>
      <c r="G10" s="25">
        <f t="shared" si="0"/>
        <v>226.32</v>
      </c>
      <c r="H10" s="26">
        <f t="shared" si="1"/>
        <v>-69.7</v>
      </c>
      <c r="I10" s="951">
        <f t="shared" si="2"/>
        <v>0</v>
      </c>
      <c r="J10" s="27">
        <f>I20/Conversions!$B$23*1000</f>
        <v>0</v>
      </c>
      <c r="K10" s="81">
        <v>2</v>
      </c>
    </row>
    <row r="11" spans="1:11" ht="15">
      <c r="A11" s="23">
        <v>2</v>
      </c>
      <c r="B11" s="829" t="s">
        <v>18</v>
      </c>
      <c r="C11" s="1033" t="str">
        <f t="shared" si="3"/>
        <v>66,000 to 105,000 ft.</v>
      </c>
      <c r="D11" s="1033"/>
      <c r="E11" s="24">
        <v>65616.8</v>
      </c>
      <c r="F11" s="24">
        <f>F21*Conversions!$B$23</f>
        <v>65823.472857</v>
      </c>
      <c r="G11" s="28">
        <f t="shared" si="0"/>
        <v>54.748999999999995</v>
      </c>
      <c r="H11" s="26">
        <f t="shared" si="1"/>
        <v>-69.7</v>
      </c>
      <c r="I11" s="952">
        <f t="shared" si="2"/>
        <v>0.5486401496690327</v>
      </c>
      <c r="J11" s="29">
        <f>I21/Conversions!$B$23*1000</f>
        <v>0.30480008314946266</v>
      </c>
      <c r="K11" s="98"/>
    </row>
    <row r="12" spans="1:11" ht="15">
      <c r="A12" s="23">
        <v>3</v>
      </c>
      <c r="B12" s="829" t="s">
        <v>18</v>
      </c>
      <c r="C12" s="1033" t="str">
        <f t="shared" si="3"/>
        <v>105,000 to 154,000 ft.</v>
      </c>
      <c r="D12" s="1033"/>
      <c r="E12" s="24">
        <v>104986.9</v>
      </c>
      <c r="F12" s="24">
        <f>F22*Conversions!$B$23</f>
        <v>105518.343918</v>
      </c>
      <c r="G12" s="28">
        <f t="shared" si="0"/>
        <v>8.6802</v>
      </c>
      <c r="H12" s="26">
        <f t="shared" si="1"/>
        <v>-48.10000000000001</v>
      </c>
      <c r="I12" s="952">
        <f t="shared" si="2"/>
        <v>1.5361924190732918</v>
      </c>
      <c r="J12" s="29">
        <f>I22/Conversions!$B$23*1000</f>
        <v>0.8534402328184955</v>
      </c>
      <c r="K12" s="98"/>
    </row>
    <row r="13" spans="1:11" ht="15">
      <c r="A13" s="23">
        <v>4</v>
      </c>
      <c r="B13" s="829" t="s">
        <v>19</v>
      </c>
      <c r="C13" s="1033" t="str">
        <f t="shared" si="3"/>
        <v>154,000 to 167,000 ft.</v>
      </c>
      <c r="D13" s="1033"/>
      <c r="E13" s="24">
        <v>154199.5</v>
      </c>
      <c r="F13" s="24">
        <f>F23*Conversions!$B$23</f>
        <v>155347.72665</v>
      </c>
      <c r="G13" s="28">
        <f t="shared" si="0"/>
        <v>1.1091</v>
      </c>
      <c r="H13" s="26">
        <f t="shared" si="1"/>
        <v>27.5</v>
      </c>
      <c r="I13" s="951">
        <f t="shared" si="2"/>
        <v>0</v>
      </c>
      <c r="J13" s="27">
        <f>I23/Conversions!$B$23*1000</f>
        <v>0</v>
      </c>
      <c r="K13" s="98"/>
    </row>
    <row r="14" spans="1:11" ht="15">
      <c r="A14" s="23">
        <v>5</v>
      </c>
      <c r="B14" s="829" t="s">
        <v>20</v>
      </c>
      <c r="C14" s="1033" t="str">
        <f t="shared" si="3"/>
        <v>167,000 to 233,000 ft.</v>
      </c>
      <c r="D14" s="1033"/>
      <c r="E14" s="24">
        <v>167322.8</v>
      </c>
      <c r="F14" s="24">
        <f>F24*Conversions!$B$23</f>
        <v>168677.77550699998</v>
      </c>
      <c r="G14" s="28">
        <f t="shared" si="0"/>
        <v>0.6693899999999999</v>
      </c>
      <c r="H14" s="26">
        <f t="shared" si="1"/>
        <v>27.5</v>
      </c>
      <c r="I14" s="953">
        <f t="shared" si="2"/>
        <v>-1.5361924190732918</v>
      </c>
      <c r="J14" s="30">
        <f>I24/Conversions!$B$23*1000</f>
        <v>-0.8534402328184955</v>
      </c>
      <c r="K14" s="98"/>
    </row>
    <row r="15" spans="1:11" ht="15">
      <c r="A15" s="31">
        <v>6</v>
      </c>
      <c r="B15" s="830" t="s">
        <v>20</v>
      </c>
      <c r="C15" s="1046" t="str">
        <f t="shared" si="3"/>
        <v>233,000 to 278,000 ft.</v>
      </c>
      <c r="D15" s="1046"/>
      <c r="E15" s="32">
        <v>232939.6</v>
      </c>
      <c r="F15" s="32">
        <f>F25*Conversions!$B$23</f>
        <v>235570.80187800003</v>
      </c>
      <c r="G15" s="33">
        <f t="shared" si="0"/>
        <v>0.039564</v>
      </c>
      <c r="H15" s="34">
        <f t="shared" si="1"/>
        <v>-73.3</v>
      </c>
      <c r="I15" s="954">
        <f t="shared" si="2"/>
        <v>-1.0972802993380655</v>
      </c>
      <c r="J15" s="35">
        <f>I25/Conversions!$B$23*1000</f>
        <v>-0.6096001662989253</v>
      </c>
      <c r="K15" s="98"/>
    </row>
    <row r="16" spans="1:11" ht="15">
      <c r="A16" s="1030">
        <v>7</v>
      </c>
      <c r="B16" s="1031" t="s">
        <v>21</v>
      </c>
      <c r="C16" s="1047"/>
      <c r="D16" s="1047"/>
      <c r="E16" s="1024">
        <v>278385.8</v>
      </c>
      <c r="F16" s="1025">
        <f>F26*Conversions!$B$23</f>
        <v>282152.154</v>
      </c>
      <c r="G16" s="1026">
        <f t="shared" si="0"/>
        <v>0.003734</v>
      </c>
      <c r="H16" s="1027">
        <f t="shared" si="1"/>
        <v>-123.16</v>
      </c>
      <c r="I16" s="1028"/>
      <c r="J16" s="1029"/>
      <c r="K16" s="1029"/>
    </row>
    <row r="17" spans="1:11" ht="15">
      <c r="A17" s="1041" t="s">
        <v>22</v>
      </c>
      <c r="B17" s="1042"/>
      <c r="C17" s="1042"/>
      <c r="D17" s="1042"/>
      <c r="E17" s="1042"/>
      <c r="F17" s="1042"/>
      <c r="G17" s="1042"/>
      <c r="H17" s="1042"/>
      <c r="I17" s="1042"/>
      <c r="J17" s="1042"/>
      <c r="K17" s="1043"/>
    </row>
    <row r="18" spans="1:11" ht="15">
      <c r="A18" s="13" t="str">
        <f>A8</f>
        <v>Layer</v>
      </c>
      <c r="B18" s="13" t="str">
        <f>B8</f>
        <v>Label</v>
      </c>
      <c r="C18" s="1037" t="str">
        <f>C8</f>
        <v>Range</v>
      </c>
      <c r="D18" s="1037"/>
      <c r="E18" s="815" t="s">
        <v>378</v>
      </c>
      <c r="F18" s="816" t="s">
        <v>379</v>
      </c>
      <c r="G18" s="817" t="s">
        <v>380</v>
      </c>
      <c r="H18" s="817" t="s">
        <v>381</v>
      </c>
      <c r="I18" s="947" t="s">
        <v>373</v>
      </c>
      <c r="J18" s="955"/>
      <c r="K18" s="818"/>
    </row>
    <row r="19" spans="1:11" ht="15">
      <c r="A19" s="17">
        <v>0</v>
      </c>
      <c r="B19" s="828" t="s">
        <v>16</v>
      </c>
      <c r="C19" s="1044" t="str">
        <f>CONCATENATE("0 (MSL) to ",E20," kilometers.")</f>
        <v>0 (MSL) to 11 kilometers.</v>
      </c>
      <c r="D19" s="1044"/>
      <c r="E19" s="36">
        <v>0</v>
      </c>
      <c r="F19" s="36">
        <v>0</v>
      </c>
      <c r="G19" s="37">
        <v>101325</v>
      </c>
      <c r="H19" s="38">
        <v>15</v>
      </c>
      <c r="I19" s="39">
        <v>-6.5</v>
      </c>
      <c r="J19" s="956"/>
      <c r="K19" s="945"/>
    </row>
    <row r="20" spans="1:11" ht="15">
      <c r="A20" s="23">
        <v>1</v>
      </c>
      <c r="B20" s="829" t="s">
        <v>17</v>
      </c>
      <c r="C20" s="1044" t="str">
        <f>CONCATENATE(E20," to ",E21," kilometers.")</f>
        <v>11 to 20 kilometers.</v>
      </c>
      <c r="D20" s="1044"/>
      <c r="E20" s="40">
        <v>11</v>
      </c>
      <c r="F20" s="40">
        <v>11.019</v>
      </c>
      <c r="G20" s="41">
        <v>22632</v>
      </c>
      <c r="H20" s="42">
        <v>-56.5</v>
      </c>
      <c r="I20" s="43">
        <v>0</v>
      </c>
      <c r="J20" s="957"/>
      <c r="K20" s="98">
        <v>2</v>
      </c>
    </row>
    <row r="21" spans="1:11" ht="15">
      <c r="A21" s="23">
        <v>2</v>
      </c>
      <c r="B21" s="829" t="s">
        <v>18</v>
      </c>
      <c r="C21" s="1044" t="str">
        <f>CONCATENATE(E21," to ",E22," kilometers.")</f>
        <v>20 to 32 kilometers.</v>
      </c>
      <c r="D21" s="1044"/>
      <c r="E21" s="40">
        <v>20</v>
      </c>
      <c r="F21" s="40">
        <v>20.063</v>
      </c>
      <c r="G21" s="41">
        <v>5474.9</v>
      </c>
      <c r="H21" s="42">
        <v>-56.5</v>
      </c>
      <c r="I21" s="45">
        <v>1</v>
      </c>
      <c r="J21" s="957"/>
      <c r="K21" s="98"/>
    </row>
    <row r="22" spans="1:11" ht="15">
      <c r="A22" s="23">
        <v>3</v>
      </c>
      <c r="B22" s="829" t="s">
        <v>18</v>
      </c>
      <c r="C22" s="1044" t="str">
        <f>CONCATENATE(E22," to ",E23," kilometers.")</f>
        <v>32 to 47 kilometers.</v>
      </c>
      <c r="D22" s="1044"/>
      <c r="E22" s="40">
        <v>32</v>
      </c>
      <c r="F22" s="40">
        <v>32.162</v>
      </c>
      <c r="G22" s="41">
        <v>868.02</v>
      </c>
      <c r="H22" s="42">
        <v>-44.5</v>
      </c>
      <c r="I22" s="45">
        <v>2.8</v>
      </c>
      <c r="J22" s="957"/>
      <c r="K22" s="98"/>
    </row>
    <row r="23" spans="1:11" ht="15">
      <c r="A23" s="23">
        <v>4</v>
      </c>
      <c r="B23" s="829" t="s">
        <v>19</v>
      </c>
      <c r="C23" s="1044" t="str">
        <f>CONCATENATE(E23," to ",E24," kilometers.")</f>
        <v>47 to 51 kilometers.</v>
      </c>
      <c r="D23" s="1044"/>
      <c r="E23" s="40">
        <v>47</v>
      </c>
      <c r="F23" s="40">
        <v>47.35</v>
      </c>
      <c r="G23" s="41">
        <v>110.91</v>
      </c>
      <c r="H23" s="42">
        <v>-2.5</v>
      </c>
      <c r="I23" s="43">
        <v>0</v>
      </c>
      <c r="J23" s="957"/>
      <c r="K23" s="98"/>
    </row>
    <row r="24" spans="1:11" ht="15">
      <c r="A24" s="23">
        <v>5</v>
      </c>
      <c r="B24" s="829" t="s">
        <v>20</v>
      </c>
      <c r="C24" s="1044" t="str">
        <f>CONCATENATE(E24," to ",E25," kilometers.")</f>
        <v>51 to 71 kilometers.</v>
      </c>
      <c r="D24" s="1044"/>
      <c r="E24" s="40">
        <v>51</v>
      </c>
      <c r="F24" s="40">
        <v>51.413</v>
      </c>
      <c r="G24" s="41">
        <v>66.939</v>
      </c>
      <c r="H24" s="42">
        <v>-2.5</v>
      </c>
      <c r="I24" s="46">
        <v>-2.8</v>
      </c>
      <c r="J24" s="957"/>
      <c r="K24" s="98"/>
    </row>
    <row r="25" spans="1:11" ht="15">
      <c r="A25" s="31">
        <v>6</v>
      </c>
      <c r="B25" s="830" t="s">
        <v>20</v>
      </c>
      <c r="C25" s="1044" t="str">
        <f>CONCATENATE(E25," to ",TEXT(ROUND(E26,2),"#.##")," kilometers.")</f>
        <v>71 to 84.85 kilometers.</v>
      </c>
      <c r="D25" s="1044"/>
      <c r="E25" s="47">
        <v>71</v>
      </c>
      <c r="F25" s="48">
        <v>71.802</v>
      </c>
      <c r="G25" s="49">
        <v>3.9564</v>
      </c>
      <c r="H25" s="50">
        <v>-58.5</v>
      </c>
      <c r="I25" s="51">
        <v>-2</v>
      </c>
      <c r="J25" s="958"/>
      <c r="K25" s="98"/>
    </row>
    <row r="26" spans="1:11" ht="15">
      <c r="A26" s="53">
        <v>7</v>
      </c>
      <c r="B26" s="831" t="s">
        <v>21</v>
      </c>
      <c r="C26" s="1052"/>
      <c r="D26" s="1052"/>
      <c r="E26" s="819">
        <v>84.852</v>
      </c>
      <c r="F26" s="819">
        <v>86</v>
      </c>
      <c r="G26" s="820">
        <v>0.3734</v>
      </c>
      <c r="H26" s="821">
        <v>-86.2</v>
      </c>
      <c r="I26" s="946"/>
      <c r="J26" s="959"/>
      <c r="K26" s="52"/>
    </row>
    <row r="27" spans="1:10" ht="38.25" customHeight="1">
      <c r="A27" s="54" t="s">
        <v>23</v>
      </c>
      <c r="B27" s="1053" t="s">
        <v>24</v>
      </c>
      <c r="C27" s="1053"/>
      <c r="D27" s="1053"/>
      <c r="E27" s="1053"/>
      <c r="F27" s="1053"/>
      <c r="G27" s="1053"/>
      <c r="H27" s="1053"/>
      <c r="I27" s="1053"/>
      <c r="J27" s="1053"/>
    </row>
    <row r="28" spans="1:16" ht="15">
      <c r="A28" s="54" t="s">
        <v>25</v>
      </c>
      <c r="B28" s="1036" t="s">
        <v>372</v>
      </c>
      <c r="C28" s="1036"/>
      <c r="D28" s="1036"/>
      <c r="E28" s="1036"/>
      <c r="F28" s="1036"/>
      <c r="G28" s="1036"/>
      <c r="H28" s="1036"/>
      <c r="I28" s="1036"/>
      <c r="J28" s="1036"/>
      <c r="L28" s="55"/>
      <c r="M28" s="55"/>
      <c r="N28" s="55"/>
      <c r="O28" s="55"/>
      <c r="P28" s="55"/>
    </row>
    <row r="29" spans="1:16" ht="15">
      <c r="A29" s="832" t="s">
        <v>84</v>
      </c>
      <c r="B29" s="1036" t="s">
        <v>411</v>
      </c>
      <c r="C29" s="1036"/>
      <c r="D29" s="1036"/>
      <c r="E29" s="1036"/>
      <c r="F29" s="1036"/>
      <c r="G29" s="1036"/>
      <c r="H29" s="1036"/>
      <c r="I29" s="1036"/>
      <c r="J29" s="1036"/>
      <c r="L29" s="55"/>
      <c r="M29" s="55"/>
      <c r="N29" s="55"/>
      <c r="O29" s="55"/>
      <c r="P29" s="55"/>
    </row>
    <row r="30" spans="1:16" ht="15">
      <c r="A30" s="832" t="s">
        <v>186</v>
      </c>
      <c r="B30" s="1036" t="str">
        <f>"-69.7 °F/-56.5°C is the standard stratosphere temperature, "&amp;CHAR(126)&amp;"36,000 to "&amp;CHAR(126)&amp;"65,000 feet."</f>
        <v>-69.7 °F/-56.5°C is the standard stratosphere temperature, ~36,000 to ~65,000 feet.</v>
      </c>
      <c r="C30" s="1036"/>
      <c r="D30" s="1036"/>
      <c r="E30" s="1036"/>
      <c r="F30" s="1036"/>
      <c r="G30" s="1036"/>
      <c r="H30" s="1036"/>
      <c r="I30" s="1036"/>
      <c r="J30" s="1036"/>
      <c r="L30" s="55"/>
      <c r="M30" s="55"/>
      <c r="N30" s="55"/>
      <c r="O30" s="55"/>
      <c r="P30" s="55"/>
    </row>
    <row r="31" spans="1:10" s="57" customFormat="1" ht="12.75">
      <c r="A31" s="56" t="s">
        <v>387</v>
      </c>
      <c r="J31" s="58"/>
    </row>
    <row r="32" s="60" customFormat="1" ht="12">
      <c r="A32" s="59" t="s">
        <v>26</v>
      </c>
    </row>
    <row r="33" spans="1:2" s="60" customFormat="1" ht="12">
      <c r="A33" s="61" t="s">
        <v>27</v>
      </c>
      <c r="B33" s="62">
        <v>40028</v>
      </c>
    </row>
    <row r="34" s="60" customFormat="1" ht="12"/>
    <row r="35" spans="1:2" s="60" customFormat="1" ht="12">
      <c r="A35" s="59" t="s">
        <v>28</v>
      </c>
      <c r="B35" s="63"/>
    </row>
    <row r="36" spans="1:2" s="60" customFormat="1" ht="12">
      <c r="A36" s="59" t="s">
        <v>29</v>
      </c>
      <c r="B36" s="63"/>
    </row>
    <row r="37" s="60" customFormat="1" ht="12">
      <c r="A37" s="59" t="s">
        <v>30</v>
      </c>
    </row>
    <row r="38" s="60" customFormat="1" ht="12">
      <c r="A38" s="59" t="s">
        <v>31</v>
      </c>
    </row>
    <row r="39" spans="1:10" ht="15">
      <c r="A39" s="61" t="s">
        <v>27</v>
      </c>
      <c r="B39" s="62">
        <v>40297</v>
      </c>
      <c r="J39" s="64"/>
    </row>
    <row r="40" spans="1:2" ht="15">
      <c r="A40" s="61"/>
      <c r="B40" s="62"/>
    </row>
    <row r="41" spans="1:14" ht="15.75">
      <c r="A41" s="3" t="s">
        <v>32</v>
      </c>
      <c r="B41" s="5"/>
      <c r="C41" s="5"/>
      <c r="D41" s="5"/>
      <c r="E41" s="5"/>
      <c r="F41" s="5"/>
      <c r="G41" s="5"/>
      <c r="H41" s="5"/>
      <c r="I41" s="5"/>
      <c r="J41" s="5"/>
      <c r="K41" s="5"/>
      <c r="L41" s="5"/>
      <c r="M41" s="65"/>
      <c r="N41" s="65"/>
    </row>
    <row r="42" spans="1:16" ht="15">
      <c r="A42" s="1037" t="str">
        <f>A18</f>
        <v>Layer</v>
      </c>
      <c r="B42" s="1037" t="str">
        <f>B18</f>
        <v>Label</v>
      </c>
      <c r="C42" s="1054" t="str">
        <f>C18</f>
        <v>Range</v>
      </c>
      <c r="D42" s="1054"/>
      <c r="E42" s="1055" t="s">
        <v>33</v>
      </c>
      <c r="F42" s="1055"/>
      <c r="G42" s="1055" t="s">
        <v>34</v>
      </c>
      <c r="H42" s="1055"/>
      <c r="I42" s="1055"/>
      <c r="O42" s="55"/>
      <c r="P42" s="55"/>
    </row>
    <row r="43" spans="1:16" ht="15">
      <c r="A43" s="1037"/>
      <c r="B43" s="1037"/>
      <c r="C43" s="1054"/>
      <c r="D43" s="1054"/>
      <c r="E43" s="1056" t="s">
        <v>35</v>
      </c>
      <c r="F43" s="1056"/>
      <c r="G43" s="1056" t="s">
        <v>35</v>
      </c>
      <c r="H43" s="1056"/>
      <c r="I43" s="1056"/>
      <c r="O43" s="55"/>
      <c r="P43" s="55"/>
    </row>
    <row r="44" spans="1:16" ht="15">
      <c r="A44" s="1037"/>
      <c r="B44" s="1037"/>
      <c r="C44" s="1054"/>
      <c r="D44" s="1054"/>
      <c r="E44" s="66" t="s">
        <v>36</v>
      </c>
      <c r="F44" s="67" t="s">
        <v>37</v>
      </c>
      <c r="G44" s="66" t="s">
        <v>38</v>
      </c>
      <c r="H44" s="68" t="s">
        <v>39</v>
      </c>
      <c r="I44" s="67" t="s">
        <v>40</v>
      </c>
      <c r="O44" s="55"/>
      <c r="P44" s="55"/>
    </row>
    <row r="45" spans="1:16" ht="15">
      <c r="A45" s="17">
        <v>0</v>
      </c>
      <c r="B45" s="833" t="s">
        <v>16</v>
      </c>
      <c r="C45" s="1044" t="str">
        <f>C9</f>
        <v>0 (MSL) to 36,000 ft.</v>
      </c>
      <c r="D45" s="1044"/>
      <c r="E45" s="853">
        <v>0</v>
      </c>
      <c r="F45" s="854">
        <v>0</v>
      </c>
      <c r="G45" s="861">
        <v>29.92126</v>
      </c>
      <c r="H45" s="839">
        <v>101325</v>
      </c>
      <c r="I45" s="840">
        <f>H45/100</f>
        <v>1013.25</v>
      </c>
      <c r="O45" s="55"/>
      <c r="P45" s="55"/>
    </row>
    <row r="46" spans="1:16" ht="15">
      <c r="A46" s="23">
        <v>1</v>
      </c>
      <c r="B46" s="834" t="s">
        <v>17</v>
      </c>
      <c r="C46" s="1033" t="str">
        <f aca="true" t="shared" si="4" ref="C46:C51">C10</f>
        <v>36,000 to 66,000 ft.</v>
      </c>
      <c r="D46" s="1033"/>
      <c r="E46" s="855">
        <v>36089</v>
      </c>
      <c r="F46" s="856">
        <v>11000</v>
      </c>
      <c r="G46" s="862">
        <v>6.683245</v>
      </c>
      <c r="H46" s="844">
        <v>22632</v>
      </c>
      <c r="I46" s="845">
        <f aca="true" t="shared" si="5" ref="I46:I51">H46/100</f>
        <v>226.32</v>
      </c>
      <c r="O46" s="55"/>
      <c r="P46" s="55"/>
    </row>
    <row r="47" spans="1:16" ht="15">
      <c r="A47" s="23">
        <v>2</v>
      </c>
      <c r="B47" s="834" t="s">
        <v>18</v>
      </c>
      <c r="C47" s="1057" t="str">
        <f t="shared" si="4"/>
        <v>66,000 to 105,000 ft.</v>
      </c>
      <c r="D47" s="1057"/>
      <c r="E47" s="855">
        <v>65617</v>
      </c>
      <c r="F47" s="856">
        <v>20000</v>
      </c>
      <c r="G47" s="862">
        <v>1.616734</v>
      </c>
      <c r="H47" s="844">
        <v>5474</v>
      </c>
      <c r="I47" s="845">
        <f t="shared" si="5"/>
        <v>54.74</v>
      </c>
      <c r="O47" s="55"/>
      <c r="P47" s="55"/>
    </row>
    <row r="48" spans="1:16" ht="15">
      <c r="A48" s="23">
        <v>3</v>
      </c>
      <c r="B48" s="834" t="s">
        <v>18</v>
      </c>
      <c r="C48" s="1057" t="str">
        <f t="shared" si="4"/>
        <v>105,000 to 154,000 ft.</v>
      </c>
      <c r="D48" s="1057"/>
      <c r="E48" s="855">
        <v>104987</v>
      </c>
      <c r="F48" s="856">
        <v>32000</v>
      </c>
      <c r="G48" s="862">
        <v>0.2563258</v>
      </c>
      <c r="H48" s="844">
        <v>868</v>
      </c>
      <c r="I48" s="845">
        <f t="shared" si="5"/>
        <v>8.68</v>
      </c>
      <c r="O48" s="55"/>
      <c r="P48" s="55"/>
    </row>
    <row r="49" spans="1:16" ht="15">
      <c r="A49" s="23">
        <v>4</v>
      </c>
      <c r="B49" s="834" t="s">
        <v>19</v>
      </c>
      <c r="C49" s="1033" t="str">
        <f t="shared" si="4"/>
        <v>154,000 to 167,000 ft.</v>
      </c>
      <c r="D49" s="1033"/>
      <c r="E49" s="855">
        <v>154199</v>
      </c>
      <c r="F49" s="856">
        <v>47000</v>
      </c>
      <c r="G49" s="862">
        <v>0.0327505</v>
      </c>
      <c r="H49" s="844">
        <v>110</v>
      </c>
      <c r="I49" s="845">
        <f t="shared" si="5"/>
        <v>1.1</v>
      </c>
      <c r="O49" s="55"/>
      <c r="P49" s="55"/>
    </row>
    <row r="50" spans="1:16" ht="15">
      <c r="A50" s="23">
        <v>5</v>
      </c>
      <c r="B50" s="834" t="s">
        <v>20</v>
      </c>
      <c r="C50" s="1033" t="str">
        <f t="shared" si="4"/>
        <v>167,000 to 233,000 ft.</v>
      </c>
      <c r="D50" s="1033"/>
      <c r="E50" s="855">
        <v>167323</v>
      </c>
      <c r="F50" s="856">
        <v>51000</v>
      </c>
      <c r="G50" s="862">
        <v>0.01976704</v>
      </c>
      <c r="H50" s="844">
        <v>66</v>
      </c>
      <c r="I50" s="845">
        <f t="shared" si="5"/>
        <v>0.66</v>
      </c>
      <c r="O50" s="55"/>
      <c r="P50" s="55"/>
    </row>
    <row r="51" spans="1:16" ht="15">
      <c r="A51" s="31">
        <v>6</v>
      </c>
      <c r="B51" s="835" t="s">
        <v>20</v>
      </c>
      <c r="C51" s="1046" t="str">
        <f t="shared" si="4"/>
        <v>233,000 to 278,000 ft.</v>
      </c>
      <c r="D51" s="1046"/>
      <c r="E51" s="857">
        <v>232940</v>
      </c>
      <c r="F51" s="858">
        <v>71000</v>
      </c>
      <c r="G51" s="863">
        <v>0.00116833</v>
      </c>
      <c r="H51" s="849">
        <v>4</v>
      </c>
      <c r="I51" s="850">
        <f t="shared" si="5"/>
        <v>0.04</v>
      </c>
      <c r="O51" s="55"/>
      <c r="P51" s="55"/>
    </row>
    <row r="52" spans="1:16" ht="15">
      <c r="A52" s="53">
        <v>7</v>
      </c>
      <c r="B52" s="836" t="s">
        <v>21</v>
      </c>
      <c r="C52" s="1052"/>
      <c r="D52" s="1052"/>
      <c r="E52" s="859">
        <f>E16</f>
        <v>278385.8</v>
      </c>
      <c r="F52" s="860">
        <f>E26*1000</f>
        <v>84852</v>
      </c>
      <c r="G52" s="1067"/>
      <c r="H52" s="1068"/>
      <c r="I52" s="1069"/>
      <c r="O52" s="55"/>
      <c r="P52" s="55"/>
    </row>
    <row r="53" spans="1:8" ht="15">
      <c r="A53" s="75"/>
      <c r="B53" s="1053"/>
      <c r="C53" s="1053"/>
      <c r="D53" s="1053"/>
      <c r="E53" s="1053"/>
      <c r="F53" s="1053"/>
      <c r="G53" s="1053"/>
      <c r="H53" s="1053"/>
    </row>
    <row r="54" spans="1:16" ht="15">
      <c r="A54" s="3" t="s">
        <v>41</v>
      </c>
      <c r="J54" s="55"/>
      <c r="K54" s="55"/>
      <c r="L54" s="55"/>
      <c r="M54" s="55"/>
      <c r="N54" s="55"/>
      <c r="O54" s="55"/>
      <c r="P54" s="55"/>
    </row>
    <row r="55" spans="1:16" ht="15">
      <c r="A55" s="1037" t="str">
        <f>A42</f>
        <v>Layer</v>
      </c>
      <c r="B55" s="1037" t="str">
        <f>B42</f>
        <v>Label</v>
      </c>
      <c r="C55" s="1054" t="str">
        <f>C42</f>
        <v>Range</v>
      </c>
      <c r="D55" s="1054"/>
      <c r="E55" s="1055" t="s">
        <v>33</v>
      </c>
      <c r="F55" s="1055"/>
      <c r="G55" s="1058" t="s">
        <v>42</v>
      </c>
      <c r="H55" s="1058"/>
      <c r="I55" s="1058"/>
      <c r="O55" s="55"/>
      <c r="P55" s="55"/>
    </row>
    <row r="56" spans="1:16" ht="15">
      <c r="A56" s="1037"/>
      <c r="B56" s="1037"/>
      <c r="C56" s="1054"/>
      <c r="D56" s="1054"/>
      <c r="E56" s="1056" t="s">
        <v>35</v>
      </c>
      <c r="F56" s="1056"/>
      <c r="G56" s="1056" t="s">
        <v>35</v>
      </c>
      <c r="H56" s="1056"/>
      <c r="I56" s="1056"/>
      <c r="O56" s="55"/>
      <c r="P56" s="55"/>
    </row>
    <row r="57" spans="1:16" ht="15">
      <c r="A57" s="1037"/>
      <c r="B57" s="1037"/>
      <c r="C57" s="1054"/>
      <c r="D57" s="1054"/>
      <c r="E57" s="66" t="s">
        <v>36</v>
      </c>
      <c r="F57" s="67" t="s">
        <v>37</v>
      </c>
      <c r="G57" s="66" t="s">
        <v>358</v>
      </c>
      <c r="H57" s="76" t="s">
        <v>359</v>
      </c>
      <c r="I57" s="67" t="s">
        <v>43</v>
      </c>
      <c r="O57" s="55"/>
      <c r="P57" s="55"/>
    </row>
    <row r="58" spans="1:16" ht="15">
      <c r="A58" s="864">
        <v>0</v>
      </c>
      <c r="B58" s="833" t="s">
        <v>16</v>
      </c>
      <c r="C58" s="1059" t="str">
        <f>C45</f>
        <v>0 (MSL) to 36,000 ft.</v>
      </c>
      <c r="D58" s="1059"/>
      <c r="E58" s="837">
        <v>0</v>
      </c>
      <c r="F58" s="838">
        <v>0</v>
      </c>
      <c r="G58" s="865">
        <f aca="true" t="shared" si="6" ref="G58:G64">9/5*H58+32</f>
        <v>59</v>
      </c>
      <c r="H58" s="866">
        <f>-273.15+'Standard Atmosphere US'!I58</f>
        <v>15</v>
      </c>
      <c r="I58" s="867">
        <v>288.15</v>
      </c>
      <c r="O58" s="55"/>
      <c r="P58" s="55"/>
    </row>
    <row r="59" spans="1:16" ht="15">
      <c r="A59" s="868">
        <v>1</v>
      </c>
      <c r="B59" s="834" t="s">
        <v>17</v>
      </c>
      <c r="C59" s="1060" t="str">
        <f aca="true" t="shared" si="7" ref="C59:C64">C46</f>
        <v>36,000 to 66,000 ft.</v>
      </c>
      <c r="D59" s="1060"/>
      <c r="E59" s="841">
        <v>36089</v>
      </c>
      <c r="F59" s="842">
        <v>11000</v>
      </c>
      <c r="G59" s="843">
        <f t="shared" si="6"/>
        <v>-69.69999999999995</v>
      </c>
      <c r="H59" s="869">
        <f>-273.15+'Standard Atmosphere US'!I59</f>
        <v>-56.49999999999997</v>
      </c>
      <c r="I59" s="870">
        <v>216.65</v>
      </c>
      <c r="O59" s="55"/>
      <c r="P59" s="55"/>
    </row>
    <row r="60" spans="1:16" ht="15">
      <c r="A60" s="868">
        <v>2</v>
      </c>
      <c r="B60" s="834" t="s">
        <v>18</v>
      </c>
      <c r="C60" s="1060" t="str">
        <f t="shared" si="7"/>
        <v>66,000 to 105,000 ft.</v>
      </c>
      <c r="D60" s="1060"/>
      <c r="E60" s="841">
        <v>65617</v>
      </c>
      <c r="F60" s="842">
        <v>20000</v>
      </c>
      <c r="G60" s="843">
        <f t="shared" si="6"/>
        <v>-69.69999999999995</v>
      </c>
      <c r="H60" s="869">
        <f>-273.15+'Standard Atmosphere US'!I60</f>
        <v>-56.49999999999997</v>
      </c>
      <c r="I60" s="870">
        <v>216.65</v>
      </c>
      <c r="O60" s="55"/>
      <c r="P60" s="55"/>
    </row>
    <row r="61" spans="1:16" ht="15">
      <c r="A61" s="868">
        <v>3</v>
      </c>
      <c r="B61" s="834" t="s">
        <v>18</v>
      </c>
      <c r="C61" s="1060" t="str">
        <f t="shared" si="7"/>
        <v>105,000 to 154,000 ft.</v>
      </c>
      <c r="D61" s="1060"/>
      <c r="E61" s="841">
        <v>104987</v>
      </c>
      <c r="F61" s="842">
        <v>32000</v>
      </c>
      <c r="G61" s="843">
        <f t="shared" si="6"/>
        <v>-48.09999999999995</v>
      </c>
      <c r="H61" s="869">
        <f>-273.15+'Standard Atmosphere US'!I61</f>
        <v>-44.49999999999997</v>
      </c>
      <c r="I61" s="870">
        <v>228.65</v>
      </c>
      <c r="O61" s="55"/>
      <c r="P61" s="55"/>
    </row>
    <row r="62" spans="1:16" ht="15">
      <c r="A62" s="868">
        <v>4</v>
      </c>
      <c r="B62" s="834" t="s">
        <v>19</v>
      </c>
      <c r="C62" s="1060" t="str">
        <f t="shared" si="7"/>
        <v>154,000 to 167,000 ft.</v>
      </c>
      <c r="D62" s="1060"/>
      <c r="E62" s="841">
        <v>154199</v>
      </c>
      <c r="F62" s="842">
        <v>47000</v>
      </c>
      <c r="G62" s="843">
        <f t="shared" si="6"/>
        <v>27.5</v>
      </c>
      <c r="H62" s="869">
        <f>-273.15+'Standard Atmosphere US'!I62</f>
        <v>-2.5</v>
      </c>
      <c r="I62" s="870">
        <v>270.65</v>
      </c>
      <c r="O62" s="55"/>
      <c r="P62" s="55"/>
    </row>
    <row r="63" spans="1:16" ht="15">
      <c r="A63" s="868">
        <v>5</v>
      </c>
      <c r="B63" s="834" t="s">
        <v>20</v>
      </c>
      <c r="C63" s="1060" t="str">
        <f t="shared" si="7"/>
        <v>167,000 to 233,000 ft.</v>
      </c>
      <c r="D63" s="1060"/>
      <c r="E63" s="841">
        <v>167323</v>
      </c>
      <c r="F63" s="842">
        <v>51000</v>
      </c>
      <c r="G63" s="843">
        <f t="shared" si="6"/>
        <v>27.5</v>
      </c>
      <c r="H63" s="869">
        <f>-273.15+'Standard Atmosphere US'!I63</f>
        <v>-2.5</v>
      </c>
      <c r="I63" s="870">
        <v>270.65</v>
      </c>
      <c r="O63" s="55"/>
      <c r="P63" s="55"/>
    </row>
    <row r="64" spans="1:16" ht="15">
      <c r="A64" s="871">
        <v>6</v>
      </c>
      <c r="B64" s="835" t="s">
        <v>20</v>
      </c>
      <c r="C64" s="1061" t="str">
        <f t="shared" si="7"/>
        <v>233,000 to 278,000 ft.</v>
      </c>
      <c r="D64" s="1061"/>
      <c r="E64" s="846">
        <v>232940</v>
      </c>
      <c r="F64" s="847">
        <v>71000</v>
      </c>
      <c r="G64" s="848">
        <f t="shared" si="6"/>
        <v>-73.29999999999995</v>
      </c>
      <c r="H64" s="872">
        <f>-273.15+'Standard Atmosphere US'!I64</f>
        <v>-58.49999999999997</v>
      </c>
      <c r="I64" s="873">
        <v>214.65</v>
      </c>
      <c r="O64" s="55"/>
      <c r="P64" s="55"/>
    </row>
    <row r="65" spans="1:16" ht="15">
      <c r="A65" s="874">
        <v>7</v>
      </c>
      <c r="B65" s="836" t="s">
        <v>21</v>
      </c>
      <c r="C65" s="1062"/>
      <c r="D65" s="1062"/>
      <c r="E65" s="851">
        <f>E52</f>
        <v>278385.8</v>
      </c>
      <c r="F65" s="852">
        <f>F52</f>
        <v>84852</v>
      </c>
      <c r="G65" s="1067"/>
      <c r="H65" s="1068"/>
      <c r="I65" s="1069"/>
      <c r="O65" s="55"/>
      <c r="P65" s="55"/>
    </row>
    <row r="66" ht="15">
      <c r="B66" s="232"/>
    </row>
    <row r="67" spans="1:2" ht="15">
      <c r="A67" s="3" t="s">
        <v>44</v>
      </c>
      <c r="B67" s="232"/>
    </row>
    <row r="68" spans="1:11" ht="15">
      <c r="A68" s="1037" t="str">
        <f>A55</f>
        <v>Layer</v>
      </c>
      <c r="B68" s="1037" t="str">
        <f>B55</f>
        <v>Label</v>
      </c>
      <c r="C68" s="1054" t="str">
        <f>C55</f>
        <v>Range</v>
      </c>
      <c r="D68" s="1054"/>
      <c r="E68" s="1055" t="s">
        <v>45</v>
      </c>
      <c r="F68" s="1055"/>
      <c r="G68" s="1055" t="s">
        <v>46</v>
      </c>
      <c r="H68" s="1055"/>
      <c r="I68" s="1055"/>
      <c r="J68" s="1055"/>
      <c r="K68" s="1055"/>
    </row>
    <row r="69" spans="1:11" ht="15">
      <c r="A69" s="1037"/>
      <c r="B69" s="1037"/>
      <c r="C69" s="1054"/>
      <c r="D69" s="1054"/>
      <c r="E69" s="1056" t="s">
        <v>35</v>
      </c>
      <c r="F69" s="1056"/>
      <c r="G69" s="1056" t="s">
        <v>360</v>
      </c>
      <c r="H69" s="1056"/>
      <c r="I69" s="1056"/>
      <c r="J69" s="1056"/>
      <c r="K69" s="1056"/>
    </row>
    <row r="70" spans="1:11" ht="15">
      <c r="A70" s="1037"/>
      <c r="B70" s="1037"/>
      <c r="C70" s="1054"/>
      <c r="D70" s="1054"/>
      <c r="E70" s="66" t="s">
        <v>36</v>
      </c>
      <c r="F70" s="67" t="s">
        <v>37</v>
      </c>
      <c r="G70" s="77" t="s">
        <v>14</v>
      </c>
      <c r="H70" s="76" t="s">
        <v>15</v>
      </c>
      <c r="I70" s="68" t="s">
        <v>47</v>
      </c>
      <c r="J70" s="78" t="s">
        <v>48</v>
      </c>
      <c r="K70" s="67" t="s">
        <v>49</v>
      </c>
    </row>
    <row r="71" spans="1:11" ht="15">
      <c r="A71" s="864">
        <v>0</v>
      </c>
      <c r="B71" s="833" t="s">
        <v>16</v>
      </c>
      <c r="C71" s="1059" t="str">
        <f>C58</f>
        <v>0 (MSL) to 36,000 ft.</v>
      </c>
      <c r="D71" s="1059"/>
      <c r="E71" s="837">
        <v>0</v>
      </c>
      <c r="F71" s="838">
        <v>0</v>
      </c>
      <c r="G71" s="875">
        <f aca="true" t="shared" si="8" ref="G71:G77">H71*9/5</f>
        <v>-3.56616</v>
      </c>
      <c r="H71" s="876">
        <f aca="true" t="shared" si="9" ref="H71:H77">I71*1000</f>
        <v>-1.9811999999999999</v>
      </c>
      <c r="I71" s="877">
        <v>-0.0019812</v>
      </c>
      <c r="J71" s="878">
        <v>-0.00649</v>
      </c>
      <c r="K71" s="879"/>
    </row>
    <row r="72" spans="1:11" ht="15">
      <c r="A72" s="868">
        <v>1</v>
      </c>
      <c r="B72" s="834" t="s">
        <v>17</v>
      </c>
      <c r="C72" s="1060" t="str">
        <f aca="true" t="shared" si="10" ref="C72:C77">C59</f>
        <v>36,000 to 66,000 ft.</v>
      </c>
      <c r="D72" s="1060"/>
      <c r="E72" s="841">
        <v>36089</v>
      </c>
      <c r="F72" s="842">
        <v>11000</v>
      </c>
      <c r="G72" s="880">
        <f t="shared" si="8"/>
        <v>0</v>
      </c>
      <c r="H72" s="881">
        <f t="shared" si="9"/>
        <v>0</v>
      </c>
      <c r="I72" s="882">
        <v>0</v>
      </c>
      <c r="J72" s="883">
        <v>0</v>
      </c>
      <c r="K72" s="834" t="s">
        <v>50</v>
      </c>
    </row>
    <row r="73" spans="1:11" ht="15">
      <c r="A73" s="868">
        <v>2</v>
      </c>
      <c r="B73" s="834" t="s">
        <v>18</v>
      </c>
      <c r="C73" s="1060" t="str">
        <f t="shared" si="10"/>
        <v>66,000 to 105,000 ft.</v>
      </c>
      <c r="D73" s="1060"/>
      <c r="E73" s="841">
        <v>65617</v>
      </c>
      <c r="F73" s="842">
        <v>20000</v>
      </c>
      <c r="G73" s="884">
        <f t="shared" si="8"/>
        <v>0.54864</v>
      </c>
      <c r="H73" s="885">
        <f t="shared" si="9"/>
        <v>0.30479999999999996</v>
      </c>
      <c r="I73" s="886">
        <v>0.0003048</v>
      </c>
      <c r="J73" s="887">
        <v>0.001</v>
      </c>
      <c r="K73" s="834" t="s">
        <v>51</v>
      </c>
    </row>
    <row r="74" spans="1:11" ht="15">
      <c r="A74" s="868">
        <v>3</v>
      </c>
      <c r="B74" s="834" t="s">
        <v>18</v>
      </c>
      <c r="C74" s="1060" t="str">
        <f t="shared" si="10"/>
        <v>105,000 to 154,000 ft.</v>
      </c>
      <c r="D74" s="1060"/>
      <c r="E74" s="841">
        <v>104987</v>
      </c>
      <c r="F74" s="842">
        <v>32000</v>
      </c>
      <c r="G74" s="884">
        <f t="shared" si="8"/>
        <v>1.536192</v>
      </c>
      <c r="H74" s="885">
        <f t="shared" si="9"/>
        <v>0.85344</v>
      </c>
      <c r="I74" s="886">
        <v>0.00085344</v>
      </c>
      <c r="J74" s="887">
        <v>0.0028</v>
      </c>
      <c r="K74" s="834" t="s">
        <v>51</v>
      </c>
    </row>
    <row r="75" spans="1:11" ht="15">
      <c r="A75" s="868">
        <v>4</v>
      </c>
      <c r="B75" s="834" t="s">
        <v>19</v>
      </c>
      <c r="C75" s="1060" t="str">
        <f t="shared" si="10"/>
        <v>154,000 to 167,000 ft.</v>
      </c>
      <c r="D75" s="1060"/>
      <c r="E75" s="841">
        <v>154199</v>
      </c>
      <c r="F75" s="842">
        <v>47000</v>
      </c>
      <c r="G75" s="880">
        <f t="shared" si="8"/>
        <v>0</v>
      </c>
      <c r="H75" s="881">
        <f t="shared" si="9"/>
        <v>0</v>
      </c>
      <c r="I75" s="882">
        <v>0</v>
      </c>
      <c r="J75" s="883">
        <v>0</v>
      </c>
      <c r="K75" s="834" t="s">
        <v>50</v>
      </c>
    </row>
    <row r="76" spans="1:11" ht="15">
      <c r="A76" s="868">
        <v>5</v>
      </c>
      <c r="B76" s="834" t="s">
        <v>20</v>
      </c>
      <c r="C76" s="1060" t="str">
        <f t="shared" si="10"/>
        <v>167,000 to 233,000 ft.</v>
      </c>
      <c r="D76" s="1060"/>
      <c r="E76" s="841">
        <v>167323</v>
      </c>
      <c r="F76" s="842">
        <v>51000</v>
      </c>
      <c r="G76" s="888">
        <f t="shared" si="8"/>
        <v>-1.536192</v>
      </c>
      <c r="H76" s="889">
        <f t="shared" si="9"/>
        <v>-0.85344</v>
      </c>
      <c r="I76" s="890">
        <v>-0.00085344</v>
      </c>
      <c r="J76" s="891">
        <v>-0.0028</v>
      </c>
      <c r="K76" s="892"/>
    </row>
    <row r="77" spans="1:11" ht="15">
      <c r="A77" s="871">
        <v>6</v>
      </c>
      <c r="B77" s="835" t="s">
        <v>20</v>
      </c>
      <c r="C77" s="1061" t="str">
        <f t="shared" si="10"/>
        <v>233,000 to 278,000 ft.</v>
      </c>
      <c r="D77" s="1061"/>
      <c r="E77" s="846">
        <v>232940</v>
      </c>
      <c r="F77" s="847">
        <v>71000</v>
      </c>
      <c r="G77" s="893">
        <f t="shared" si="8"/>
        <v>-1.09746</v>
      </c>
      <c r="H77" s="894">
        <f t="shared" si="9"/>
        <v>-0.6097</v>
      </c>
      <c r="I77" s="895">
        <v>-0.0006097</v>
      </c>
      <c r="J77" s="896">
        <v>-0.002</v>
      </c>
      <c r="K77" s="897"/>
    </row>
    <row r="78" spans="1:11" ht="15">
      <c r="A78" s="874">
        <v>7</v>
      </c>
      <c r="B78" s="836" t="s">
        <v>21</v>
      </c>
      <c r="C78" s="1062"/>
      <c r="D78" s="1062"/>
      <c r="E78" s="851">
        <f>E65</f>
        <v>278385.8</v>
      </c>
      <c r="F78" s="852">
        <f>F65</f>
        <v>84852</v>
      </c>
      <c r="G78" s="1067"/>
      <c r="H78" s="1068"/>
      <c r="I78" s="1068"/>
      <c r="J78" s="1070"/>
      <c r="K78" s="898"/>
    </row>
    <row r="79" ht="15">
      <c r="F79" s="79"/>
    </row>
    <row r="80" ht="15">
      <c r="A80" s="3" t="s">
        <v>52</v>
      </c>
    </row>
    <row r="81" spans="1:5" ht="15">
      <c r="A81" s="1063" t="s">
        <v>53</v>
      </c>
      <c r="B81" s="1066" t="str">
        <f>B68</f>
        <v>Label</v>
      </c>
      <c r="C81" s="1065" t="s">
        <v>54</v>
      </c>
      <c r="D81" s="1065"/>
      <c r="E81" s="1010" t="s">
        <v>55</v>
      </c>
    </row>
    <row r="82" spans="1:5" ht="15">
      <c r="A82" s="1064"/>
      <c r="B82" s="1037"/>
      <c r="C82" s="67" t="s">
        <v>36</v>
      </c>
      <c r="D82" s="1009" t="s">
        <v>37</v>
      </c>
      <c r="E82" s="1011" t="s">
        <v>56</v>
      </c>
    </row>
    <row r="83" spans="1:5" ht="15">
      <c r="A83" s="1012">
        <v>1</v>
      </c>
      <c r="B83" s="69" t="str">
        <f>B71</f>
        <v>Troposphere</v>
      </c>
      <c r="C83" s="71">
        <v>0</v>
      </c>
      <c r="D83" s="70">
        <v>0</v>
      </c>
      <c r="E83" s="1013">
        <v>1000</v>
      </c>
    </row>
    <row r="84" spans="1:5" ht="15">
      <c r="A84" s="1014" t="s">
        <v>57</v>
      </c>
      <c r="B84" s="72" t="str">
        <f>B83</f>
        <v>Troposphere</v>
      </c>
      <c r="C84" s="74">
        <v>18000</v>
      </c>
      <c r="D84" s="73">
        <v>5486</v>
      </c>
      <c r="E84" s="1013">
        <f aca="true" t="shared" si="11" ref="E84:E90">$E$83/(MID(A84,FIND("/",A84)+1,999))</f>
        <v>500</v>
      </c>
    </row>
    <row r="85" spans="1:5" ht="15">
      <c r="A85" s="1015" t="s">
        <v>58</v>
      </c>
      <c r="B85" s="72" t="str">
        <f>B84</f>
        <v>Troposphere</v>
      </c>
      <c r="C85" s="74">
        <v>27480</v>
      </c>
      <c r="D85" s="73">
        <v>8376</v>
      </c>
      <c r="E85" s="1013">
        <f t="shared" si="11"/>
        <v>333.3333333333333</v>
      </c>
    </row>
    <row r="86" spans="1:5" ht="15">
      <c r="A86" s="1016" t="s">
        <v>59</v>
      </c>
      <c r="B86" s="72" t="str">
        <f>B46</f>
        <v>Tropopause</v>
      </c>
      <c r="C86" s="74">
        <v>52926</v>
      </c>
      <c r="D86" s="82">
        <v>16132</v>
      </c>
      <c r="E86" s="1013">
        <f t="shared" si="11"/>
        <v>100</v>
      </c>
    </row>
    <row r="87" spans="1:5" ht="15">
      <c r="A87" s="1017" t="s">
        <v>60</v>
      </c>
      <c r="B87" s="72" t="str">
        <f>B47</f>
        <v>Stratosphere</v>
      </c>
      <c r="C87" s="74">
        <v>101381</v>
      </c>
      <c r="D87" s="73">
        <v>30901</v>
      </c>
      <c r="E87" s="1013">
        <f t="shared" si="11"/>
        <v>10</v>
      </c>
    </row>
    <row r="88" spans="1:5" ht="15">
      <c r="A88" s="1017" t="s">
        <v>61</v>
      </c>
      <c r="B88" s="72" t="str">
        <f>B49</f>
        <v>Stratopause</v>
      </c>
      <c r="C88" s="74">
        <v>159013</v>
      </c>
      <c r="D88" s="73">
        <v>48467</v>
      </c>
      <c r="E88" s="1013">
        <f t="shared" si="11"/>
        <v>1</v>
      </c>
    </row>
    <row r="89" spans="1:5" ht="15">
      <c r="A89" s="1017" t="s">
        <v>62</v>
      </c>
      <c r="B89" s="72" t="str">
        <f>B50</f>
        <v>Mesosphere</v>
      </c>
      <c r="C89" s="74">
        <v>227899</v>
      </c>
      <c r="D89" s="73">
        <v>69464</v>
      </c>
      <c r="E89" s="1018">
        <f t="shared" si="11"/>
        <v>0.1</v>
      </c>
    </row>
    <row r="90" spans="1:5" ht="15">
      <c r="A90" s="1019" t="s">
        <v>63</v>
      </c>
      <c r="B90" s="1020" t="str">
        <f>B52</f>
        <v>Mesopause</v>
      </c>
      <c r="C90" s="1021">
        <v>283076</v>
      </c>
      <c r="D90" s="1022">
        <v>86282</v>
      </c>
      <c r="E90" s="1023">
        <f t="shared" si="11"/>
        <v>0.01</v>
      </c>
    </row>
    <row r="92" ht="15">
      <c r="A92" s="83"/>
    </row>
    <row r="94" s="3" customFormat="1" ht="15"/>
    <row r="123" spans="3:11" ht="15">
      <c r="C123" s="1036"/>
      <c r="D123" s="1036"/>
      <c r="E123" s="1036"/>
      <c r="F123" s="1036"/>
      <c r="G123" s="1036"/>
      <c r="H123" s="1036"/>
      <c r="I123" s="1036"/>
      <c r="J123" s="1036"/>
      <c r="K123" s="1036"/>
    </row>
  </sheetData>
  <sheetProtection sheet="1"/>
  <mergeCells count="85">
    <mergeCell ref="A81:A82"/>
    <mergeCell ref="C81:D81"/>
    <mergeCell ref="B81:B82"/>
    <mergeCell ref="G52:I52"/>
    <mergeCell ref="G65:I65"/>
    <mergeCell ref="G78:J78"/>
    <mergeCell ref="C73:D73"/>
    <mergeCell ref="C74:D74"/>
    <mergeCell ref="C75:D75"/>
    <mergeCell ref="C76:D76"/>
    <mergeCell ref="C77:D77"/>
    <mergeCell ref="C78:D78"/>
    <mergeCell ref="E68:F68"/>
    <mergeCell ref="G68:K68"/>
    <mergeCell ref="E69:F69"/>
    <mergeCell ref="G69:K69"/>
    <mergeCell ref="C71:D71"/>
    <mergeCell ref="C72:D72"/>
    <mergeCell ref="C62:D62"/>
    <mergeCell ref="C63:D63"/>
    <mergeCell ref="C64:D64"/>
    <mergeCell ref="C65:D65"/>
    <mergeCell ref="A68:A70"/>
    <mergeCell ref="B68:B70"/>
    <mergeCell ref="C68:D70"/>
    <mergeCell ref="E56:F56"/>
    <mergeCell ref="G56:I56"/>
    <mergeCell ref="C58:D58"/>
    <mergeCell ref="C59:D59"/>
    <mergeCell ref="C60:D60"/>
    <mergeCell ref="C61:D61"/>
    <mergeCell ref="C49:D49"/>
    <mergeCell ref="C50:D50"/>
    <mergeCell ref="C51:D51"/>
    <mergeCell ref="C52:D52"/>
    <mergeCell ref="B53:H53"/>
    <mergeCell ref="A55:A57"/>
    <mergeCell ref="B55:B57"/>
    <mergeCell ref="C55:D57"/>
    <mergeCell ref="E55:F55"/>
    <mergeCell ref="G55:I55"/>
    <mergeCell ref="E43:F43"/>
    <mergeCell ref="G43:I43"/>
    <mergeCell ref="C45:D45"/>
    <mergeCell ref="C46:D46"/>
    <mergeCell ref="C47:D47"/>
    <mergeCell ref="C48:D48"/>
    <mergeCell ref="C24:D24"/>
    <mergeCell ref="C25:D25"/>
    <mergeCell ref="C26:D26"/>
    <mergeCell ref="B27:J27"/>
    <mergeCell ref="B28:J28"/>
    <mergeCell ref="A42:A44"/>
    <mergeCell ref="B42:B44"/>
    <mergeCell ref="C42:D44"/>
    <mergeCell ref="E42:F42"/>
    <mergeCell ref="G42:I42"/>
    <mergeCell ref="C18:D18"/>
    <mergeCell ref="C19:D19"/>
    <mergeCell ref="C20:D20"/>
    <mergeCell ref="C21:D21"/>
    <mergeCell ref="C22:D22"/>
    <mergeCell ref="C23:D23"/>
    <mergeCell ref="C15:D15"/>
    <mergeCell ref="C16:D16"/>
    <mergeCell ref="A2:F2"/>
    <mergeCell ref="E5:F5"/>
    <mergeCell ref="G5:G6"/>
    <mergeCell ref="H5:H6"/>
    <mergeCell ref="C8:D8"/>
    <mergeCell ref="C9:D9"/>
    <mergeCell ref="A1:K1"/>
    <mergeCell ref="C12:D12"/>
    <mergeCell ref="C13:D13"/>
    <mergeCell ref="C14:D14"/>
    <mergeCell ref="C10:D10"/>
    <mergeCell ref="C11:D11"/>
    <mergeCell ref="I5:J5"/>
    <mergeCell ref="I6:J6"/>
    <mergeCell ref="C123:K123"/>
    <mergeCell ref="K5:K6"/>
    <mergeCell ref="A7:K7"/>
    <mergeCell ref="A17:K17"/>
    <mergeCell ref="B29:J29"/>
    <mergeCell ref="B30:J30"/>
  </mergeCells>
  <hyperlinks>
    <hyperlink ref="A32" r:id="rId1" display="http://web.me.com/gyatt/atmosculator/The%20Standard%20Atmosphere.html"/>
    <hyperlink ref="A35" r:id="rId2" display="http://en.wikipedia.org/wiki/U.S._Standard_Atmosphere"/>
    <hyperlink ref="A36" r:id="rId3" display="http://en.wikipedia.org/wiki/Atmospheric_pressure"/>
    <hyperlink ref="A37" r:id="rId4" display="http://en.wikipedia.org/wiki/International_Standard_Atmosphere"/>
    <hyperlink ref="A38" r:id="rId5" display="http://en.wikipedia.org/wiki/Atmospheric_models"/>
  </hyperlinks>
  <printOptions/>
  <pageMargins left="0.7" right="0.7" top="0.75" bottom="0.75" header="0.5118055555555555" footer="0.5118055555555555"/>
  <pageSetup horizontalDpi="300" verticalDpi="300" orientation="portrait" r:id="rId6"/>
</worksheet>
</file>

<file path=xl/worksheets/sheet10.xml><?xml version="1.0" encoding="utf-8"?>
<worksheet xmlns="http://schemas.openxmlformats.org/spreadsheetml/2006/main" xmlns:r="http://schemas.openxmlformats.org/officeDocument/2006/relationships">
  <dimension ref="A1:M99"/>
  <sheetViews>
    <sheetView showGridLines="0" zoomScalePageLayoutView="0" workbookViewId="0" topLeftCell="A1">
      <selection activeCell="A1" sqref="A1:D1"/>
    </sheetView>
  </sheetViews>
  <sheetFormatPr defaultColWidth="9.140625" defaultRowHeight="15"/>
  <cols>
    <col min="1" max="7" width="10.7109375" style="0" customWidth="1"/>
  </cols>
  <sheetData>
    <row r="1" spans="1:4" ht="15">
      <c r="A1" s="1073" t="s">
        <v>209</v>
      </c>
      <c r="B1" s="1073"/>
      <c r="C1" s="1073"/>
      <c r="D1" s="1073"/>
    </row>
    <row r="2" spans="1:4" ht="15">
      <c r="A2" s="442"/>
      <c r="B2" s="442"/>
      <c r="C2" s="442"/>
      <c r="D2" s="442"/>
    </row>
    <row r="3" spans="1:8" ht="15">
      <c r="A3" s="1147" t="s">
        <v>210</v>
      </c>
      <c r="B3" s="1147"/>
      <c r="C3" s="183"/>
      <c r="D3" s="1148" t="s">
        <v>211</v>
      </c>
      <c r="E3" s="1148"/>
      <c r="F3" s="443"/>
      <c r="G3" s="443"/>
      <c r="H3" s="443"/>
    </row>
    <row r="4" spans="1:8" ht="15">
      <c r="A4" s="444" t="s">
        <v>212</v>
      </c>
      <c r="B4" s="445" t="s">
        <v>213</v>
      </c>
      <c r="D4" s="446" t="s">
        <v>214</v>
      </c>
      <c r="E4" s="447" t="s">
        <v>215</v>
      </c>
      <c r="F4" s="443"/>
      <c r="G4" s="443"/>
      <c r="H4" s="443"/>
    </row>
    <row r="5" spans="1:8" ht="15">
      <c r="A5" s="448" t="s">
        <v>126</v>
      </c>
      <c r="B5" s="449" t="s">
        <v>125</v>
      </c>
      <c r="D5" s="450" t="s">
        <v>126</v>
      </c>
      <c r="E5" s="451" t="s">
        <v>125</v>
      </c>
      <c r="F5" s="452" t="s">
        <v>216</v>
      </c>
      <c r="G5" s="443"/>
      <c r="H5" s="443"/>
    </row>
    <row r="6" spans="1:8" ht="15">
      <c r="A6" s="453">
        <v>59</v>
      </c>
      <c r="B6" s="454">
        <f>(5/9)*(A6-32)</f>
        <v>15</v>
      </c>
      <c r="D6" s="455" t="s">
        <v>217</v>
      </c>
      <c r="E6" s="420" t="s">
        <v>218</v>
      </c>
      <c r="F6" s="455" t="s">
        <v>219</v>
      </c>
      <c r="G6" s="456" t="s">
        <v>220</v>
      </c>
      <c r="H6" s="443"/>
    </row>
    <row r="7" spans="1:8" ht="15">
      <c r="A7" s="457"/>
      <c r="B7" s="458"/>
      <c r="D7" s="459"/>
      <c r="E7" s="443"/>
      <c r="F7" s="460"/>
      <c r="G7" s="443"/>
      <c r="H7" s="443"/>
    </row>
    <row r="8" spans="1:8" ht="15">
      <c r="A8" s="448" t="s">
        <v>125</v>
      </c>
      <c r="B8" s="461" t="s">
        <v>126</v>
      </c>
      <c r="D8" s="450" t="s">
        <v>125</v>
      </c>
      <c r="E8" s="451" t="s">
        <v>126</v>
      </c>
      <c r="F8" s="452" t="s">
        <v>216</v>
      </c>
      <c r="G8" s="443"/>
      <c r="H8" s="443"/>
    </row>
    <row r="9" spans="1:8" ht="15">
      <c r="A9" s="453">
        <v>-40</v>
      </c>
      <c r="B9" s="462">
        <f>((9/5)*A9)+32</f>
        <v>-40</v>
      </c>
      <c r="C9" s="196"/>
      <c r="D9" s="455" t="s">
        <v>221</v>
      </c>
      <c r="E9" s="420" t="s">
        <v>222</v>
      </c>
      <c r="F9" s="455" t="s">
        <v>223</v>
      </c>
      <c r="G9" s="456" t="s">
        <v>224</v>
      </c>
      <c r="H9" s="443"/>
    </row>
    <row r="10" spans="1:8" ht="15">
      <c r="A10" s="463"/>
      <c r="B10" s="464"/>
      <c r="D10" s="459"/>
      <c r="E10" s="443"/>
      <c r="F10" s="443"/>
      <c r="G10" s="443"/>
      <c r="H10" s="443"/>
    </row>
    <row r="11" spans="1:8" ht="15">
      <c r="A11" s="465" t="s">
        <v>124</v>
      </c>
      <c r="B11" s="466" t="s">
        <v>126</v>
      </c>
      <c r="D11" s="450" t="s">
        <v>124</v>
      </c>
      <c r="E11" s="451" t="s">
        <v>126</v>
      </c>
      <c r="F11" s="443"/>
      <c r="G11" s="443"/>
      <c r="H11" s="443"/>
    </row>
    <row r="12" spans="1:8" ht="15">
      <c r="A12" s="453">
        <v>273</v>
      </c>
      <c r="B12" s="462">
        <f>((9/5)*(A12-273.15)+32)</f>
        <v>31.73000000000004</v>
      </c>
      <c r="C12" s="196"/>
      <c r="D12" s="455" t="s">
        <v>225</v>
      </c>
      <c r="E12" s="420" t="s">
        <v>226</v>
      </c>
      <c r="F12" s="443"/>
      <c r="G12" s="443"/>
      <c r="H12" s="443"/>
    </row>
    <row r="13" spans="1:8" ht="15">
      <c r="A13" s="457"/>
      <c r="B13" s="464"/>
      <c r="D13" s="443"/>
      <c r="E13" s="443"/>
      <c r="F13" s="443"/>
      <c r="G13" s="443"/>
      <c r="H13" s="443"/>
    </row>
    <row r="14" spans="1:9" ht="15">
      <c r="A14" s="448" t="s">
        <v>124</v>
      </c>
      <c r="B14" s="461" t="s">
        <v>125</v>
      </c>
      <c r="D14" s="450" t="s">
        <v>124</v>
      </c>
      <c r="E14" s="451" t="s">
        <v>125</v>
      </c>
      <c r="F14" s="443"/>
      <c r="G14" s="443"/>
      <c r="H14" s="443"/>
      <c r="I14" s="65"/>
    </row>
    <row r="15" spans="1:8" ht="15">
      <c r="A15" s="453">
        <v>373</v>
      </c>
      <c r="B15" s="454">
        <f>(A15-273.15)</f>
        <v>99.85000000000002</v>
      </c>
      <c r="D15" s="455" t="s">
        <v>217</v>
      </c>
      <c r="E15" s="420" t="s">
        <v>227</v>
      </c>
      <c r="F15" s="443"/>
      <c r="G15" s="443"/>
      <c r="H15" s="443"/>
    </row>
    <row r="16" spans="1:8" ht="15">
      <c r="A16" s="457"/>
      <c r="B16" s="464"/>
      <c r="D16" s="443"/>
      <c r="E16" s="443"/>
      <c r="F16" s="443"/>
      <c r="G16" s="443"/>
      <c r="H16" s="443"/>
    </row>
    <row r="17" spans="1:8" ht="15">
      <c r="A17" s="448" t="s">
        <v>125</v>
      </c>
      <c r="B17" s="1008" t="s">
        <v>124</v>
      </c>
      <c r="D17" s="450" t="s">
        <v>125</v>
      </c>
      <c r="E17" s="451" t="s">
        <v>124</v>
      </c>
      <c r="F17" s="443"/>
      <c r="G17" s="443"/>
      <c r="H17" s="443"/>
    </row>
    <row r="18" spans="1:8" ht="15">
      <c r="A18" s="453">
        <v>-40</v>
      </c>
      <c r="B18" s="454">
        <f>(A18+273.15)</f>
        <v>233.14999999999998</v>
      </c>
      <c r="D18" s="455" t="s">
        <v>228</v>
      </c>
      <c r="E18" s="420" t="s">
        <v>229</v>
      </c>
      <c r="F18" s="443"/>
      <c r="G18" s="443"/>
      <c r="H18" s="443"/>
    </row>
    <row r="19" spans="1:2" ht="15">
      <c r="A19" s="457"/>
      <c r="B19" s="464"/>
    </row>
    <row r="21" spans="1:13" ht="15">
      <c r="A21" s="446" t="s">
        <v>410</v>
      </c>
      <c r="B21" s="447"/>
      <c r="C21" s="447"/>
      <c r="D21" s="447"/>
      <c r="E21" s="443"/>
      <c r="F21" s="443"/>
      <c r="G21" s="443"/>
      <c r="H21" s="443"/>
      <c r="I21" s="443"/>
      <c r="J21" s="443"/>
      <c r="K21" s="443"/>
      <c r="L21" s="443"/>
      <c r="M21" s="443"/>
    </row>
    <row r="22" spans="1:13" ht="15">
      <c r="A22" s="450" t="s">
        <v>230</v>
      </c>
      <c r="B22" s="451" t="s">
        <v>231</v>
      </c>
      <c r="C22" s="451" t="s">
        <v>232</v>
      </c>
      <c r="D22" s="451" t="s">
        <v>233</v>
      </c>
      <c r="E22" s="443"/>
      <c r="F22" s="443"/>
      <c r="G22" s="443"/>
      <c r="H22" s="443"/>
      <c r="I22" s="443"/>
      <c r="J22" s="443"/>
      <c r="K22" s="443"/>
      <c r="L22" s="443"/>
      <c r="M22" s="443"/>
    </row>
    <row r="23" spans="1:13" ht="15">
      <c r="A23" s="451">
        <v>1</v>
      </c>
      <c r="B23" s="468">
        <v>3280.839</v>
      </c>
      <c r="C23" s="469">
        <f>B23/B29</f>
        <v>0.6213710227272727</v>
      </c>
      <c r="D23" s="470">
        <f>(B29*C23)/B26</f>
        <v>0.539956655228135</v>
      </c>
      <c r="E23" s="443"/>
      <c r="F23" s="443"/>
      <c r="G23" s="443"/>
      <c r="H23" s="443"/>
      <c r="I23" s="443"/>
      <c r="J23" s="443"/>
      <c r="K23" s="443"/>
      <c r="L23" s="443"/>
      <c r="M23" s="443"/>
    </row>
    <row r="24" spans="1:13" ht="15">
      <c r="A24" s="471"/>
      <c r="B24" s="471"/>
      <c r="C24" s="443"/>
      <c r="D24" s="443"/>
      <c r="E24" s="443"/>
      <c r="F24" s="443"/>
      <c r="G24" s="443"/>
      <c r="H24" s="443"/>
      <c r="I24" s="443"/>
      <c r="J24" s="443"/>
      <c r="K24" s="443"/>
      <c r="L24" s="443"/>
      <c r="M24" s="443"/>
    </row>
    <row r="25" spans="1:13" ht="15">
      <c r="A25" s="450" t="s">
        <v>233</v>
      </c>
      <c r="B25" s="451" t="s">
        <v>231</v>
      </c>
      <c r="C25" s="994" t="s">
        <v>232</v>
      </c>
      <c r="D25" s="451" t="s">
        <v>230</v>
      </c>
      <c r="E25" s="443"/>
      <c r="F25" s="443"/>
      <c r="G25" s="443"/>
      <c r="H25" s="443"/>
      <c r="I25" s="443"/>
      <c r="J25" s="443"/>
      <c r="K25" s="443"/>
      <c r="L25" s="443"/>
      <c r="M25" s="443"/>
    </row>
    <row r="26" spans="1:13" ht="15">
      <c r="A26" s="451">
        <v>1</v>
      </c>
      <c r="B26" s="472">
        <f>1.15077945*B29</f>
        <v>6076.115495999999</v>
      </c>
      <c r="C26" s="470">
        <f>B26/B29</f>
        <v>1.15077945</v>
      </c>
      <c r="D26" s="470">
        <f>C26*(1/C23)</f>
        <v>1.8520005084065385</v>
      </c>
      <c r="E26" s="443"/>
      <c r="F26" s="443"/>
      <c r="G26" s="443"/>
      <c r="H26" s="443"/>
      <c r="I26" s="443"/>
      <c r="J26" s="443"/>
      <c r="K26" s="443"/>
      <c r="L26" s="443"/>
      <c r="M26" s="443"/>
    </row>
    <row r="27" spans="1:13" ht="15">
      <c r="A27" s="473"/>
      <c r="B27" s="473"/>
      <c r="C27" s="443"/>
      <c r="D27" s="443"/>
      <c r="E27" s="443"/>
      <c r="F27" s="443"/>
      <c r="G27" s="443"/>
      <c r="H27" s="443"/>
      <c r="I27" s="443"/>
      <c r="J27" s="443"/>
      <c r="K27" s="443"/>
      <c r="L27" s="443"/>
      <c r="M27" s="443"/>
    </row>
    <row r="28" spans="1:13" ht="15">
      <c r="A28" s="450" t="s">
        <v>232</v>
      </c>
      <c r="B28" s="451" t="s">
        <v>231</v>
      </c>
      <c r="C28" s="451" t="s">
        <v>230</v>
      </c>
      <c r="D28" s="451" t="s">
        <v>233</v>
      </c>
      <c r="E28" s="443"/>
      <c r="F28" s="443"/>
      <c r="G28" s="443"/>
      <c r="H28" s="443"/>
      <c r="I28" s="443"/>
      <c r="J28" s="443"/>
      <c r="K28" s="443"/>
      <c r="L28" s="443"/>
      <c r="M28" s="443"/>
    </row>
    <row r="29" spans="1:13" ht="15">
      <c r="A29" s="474">
        <v>1</v>
      </c>
      <c r="B29" s="472">
        <v>5280</v>
      </c>
      <c r="C29" s="470">
        <f>(1/C23)</f>
        <v>1.609344439029163</v>
      </c>
      <c r="D29" s="470">
        <f>1/C26</f>
        <v>0.868976240408186</v>
      </c>
      <c r="E29" s="443"/>
      <c r="F29" s="443"/>
      <c r="G29" s="443"/>
      <c r="H29" s="443"/>
      <c r="I29" s="443"/>
      <c r="J29" s="443"/>
      <c r="K29" s="443"/>
      <c r="L29" s="443"/>
      <c r="M29" s="443"/>
    </row>
    <row r="30" spans="1:13" ht="15">
      <c r="A30" s="443"/>
      <c r="B30" s="443"/>
      <c r="C30" s="443"/>
      <c r="D30" s="443"/>
      <c r="E30" s="443"/>
      <c r="F30" s="443"/>
      <c r="G30" s="443"/>
      <c r="H30" s="443"/>
      <c r="I30" s="443"/>
      <c r="J30" s="443"/>
      <c r="K30" s="443"/>
      <c r="L30" s="443"/>
      <c r="M30" s="443"/>
    </row>
    <row r="31" spans="1:13" ht="15">
      <c r="A31" s="450" t="s">
        <v>234</v>
      </c>
      <c r="B31" s="451" t="s">
        <v>231</v>
      </c>
      <c r="C31" s="473"/>
      <c r="D31" s="443"/>
      <c r="E31" s="443"/>
      <c r="F31" s="443"/>
      <c r="G31" s="443"/>
      <c r="H31" s="443"/>
      <c r="I31" s="443"/>
      <c r="J31" s="443"/>
      <c r="K31" s="443"/>
      <c r="L31" s="443"/>
      <c r="M31" s="443"/>
    </row>
    <row r="32" spans="1:13" ht="15">
      <c r="A32" s="451">
        <v>1</v>
      </c>
      <c r="B32" s="1006">
        <f>B23/1000</f>
        <v>3.280839</v>
      </c>
      <c r="C32" s="475"/>
      <c r="D32" s="443"/>
      <c r="E32" s="443"/>
      <c r="F32" s="443"/>
      <c r="G32" s="443"/>
      <c r="H32" s="443"/>
      <c r="I32" s="443"/>
      <c r="J32" s="443"/>
      <c r="K32" s="443"/>
      <c r="L32" s="443"/>
      <c r="M32" s="443"/>
    </row>
    <row r="33" spans="1:13" ht="15">
      <c r="A33" s="443"/>
      <c r="B33" s="443"/>
      <c r="C33" s="443"/>
      <c r="D33" s="443"/>
      <c r="E33" s="443"/>
      <c r="F33" s="443"/>
      <c r="G33" s="443"/>
      <c r="H33" s="443"/>
      <c r="I33" s="443"/>
      <c r="J33" s="443"/>
      <c r="K33" s="443"/>
      <c r="L33" s="443"/>
      <c r="M33" s="443"/>
    </row>
    <row r="34" spans="1:13" ht="15">
      <c r="A34" s="450" t="s">
        <v>231</v>
      </c>
      <c r="B34" s="467" t="s">
        <v>234</v>
      </c>
      <c r="C34" s="443"/>
      <c r="D34" s="443"/>
      <c r="E34" s="443"/>
      <c r="F34" s="443"/>
      <c r="G34" s="443"/>
      <c r="H34" s="443"/>
      <c r="I34" s="443"/>
      <c r="J34" s="443"/>
      <c r="K34" s="443"/>
      <c r="L34" s="443"/>
      <c r="M34" s="443"/>
    </row>
    <row r="35" spans="1:13" ht="15">
      <c r="A35" s="467">
        <v>1</v>
      </c>
      <c r="B35" s="469">
        <f>1/B32</f>
        <v>0.3048000831494627</v>
      </c>
      <c r="C35" s="443"/>
      <c r="D35" s="443"/>
      <c r="E35" s="443"/>
      <c r="F35" s="443"/>
      <c r="G35" s="443"/>
      <c r="H35" s="443"/>
      <c r="I35" s="443"/>
      <c r="J35" s="443"/>
      <c r="K35" s="443"/>
      <c r="L35" s="443"/>
      <c r="M35" s="443"/>
    </row>
    <row r="36" spans="1:13" ht="15">
      <c r="A36" s="1003"/>
      <c r="B36" s="1004"/>
      <c r="C36" s="443"/>
      <c r="D36" s="443"/>
      <c r="E36" s="443"/>
      <c r="F36" s="443"/>
      <c r="G36" s="443"/>
      <c r="H36" s="443"/>
      <c r="I36" s="443"/>
      <c r="J36" s="443"/>
      <c r="K36" s="443"/>
      <c r="L36" s="443"/>
      <c r="M36" s="443"/>
    </row>
    <row r="37" spans="1:13" ht="15">
      <c r="A37" s="995" t="s">
        <v>214</v>
      </c>
      <c r="B37" s="443"/>
      <c r="C37" s="443"/>
      <c r="D37" s="443"/>
      <c r="E37" s="443"/>
      <c r="F37" s="443"/>
      <c r="G37" s="443"/>
      <c r="H37" s="443"/>
      <c r="I37" s="443"/>
      <c r="J37" s="443"/>
      <c r="K37" s="443"/>
      <c r="L37" s="443"/>
      <c r="M37" s="443"/>
    </row>
    <row r="38" spans="1:13" ht="15">
      <c r="A38" s="996" t="s">
        <v>235</v>
      </c>
      <c r="B38" s="998" t="s">
        <v>237</v>
      </c>
      <c r="C38" s="998" t="s">
        <v>406</v>
      </c>
      <c r="D38" s="996" t="s">
        <v>407</v>
      </c>
      <c r="E38" s="998" t="s">
        <v>408</v>
      </c>
      <c r="F38" s="998" t="s">
        <v>409</v>
      </c>
      <c r="H38" s="443"/>
      <c r="I38" s="443"/>
      <c r="J38" s="443"/>
      <c r="K38" s="443"/>
      <c r="L38" s="443"/>
      <c r="M38" s="443"/>
    </row>
    <row r="39" spans="1:13" ht="15">
      <c r="A39" s="995" t="s">
        <v>405</v>
      </c>
      <c r="H39" s="443"/>
      <c r="I39" s="443"/>
      <c r="J39" s="443"/>
      <c r="K39" s="443"/>
      <c r="L39" s="443"/>
      <c r="M39" s="443"/>
    </row>
    <row r="40" spans="1:13" ht="15">
      <c r="A40" s="476">
        <f>(1/3.2808399)</f>
        <v>0.304799999536704</v>
      </c>
      <c r="B40" s="478">
        <v>25.4</v>
      </c>
      <c r="C40" s="999">
        <v>2.54</v>
      </c>
      <c r="D40" s="1002">
        <f>1/A40</f>
        <v>3.2808399</v>
      </c>
      <c r="E40" s="1001">
        <f>1/B40</f>
        <v>0.03937007874015748</v>
      </c>
      <c r="F40" s="1000">
        <f>1/C40</f>
        <v>0.39370078740157477</v>
      </c>
      <c r="H40" s="443"/>
      <c r="I40" s="443"/>
      <c r="J40" s="443"/>
      <c r="K40" s="443"/>
      <c r="L40" s="443"/>
      <c r="M40" s="443"/>
    </row>
    <row r="41" spans="8:13" ht="15">
      <c r="H41" s="443"/>
      <c r="I41" s="443"/>
      <c r="J41" s="443"/>
      <c r="K41" s="443"/>
      <c r="L41" s="443"/>
      <c r="M41" s="443"/>
    </row>
    <row r="42" spans="1:13" ht="15">
      <c r="A42" s="1003"/>
      <c r="B42" s="1004"/>
      <c r="C42" s="443"/>
      <c r="D42" s="443"/>
      <c r="E42" s="443"/>
      <c r="F42" s="443"/>
      <c r="G42" s="443"/>
      <c r="H42" s="443"/>
      <c r="I42" s="443"/>
      <c r="J42" s="443"/>
      <c r="K42" s="443"/>
      <c r="L42" s="443"/>
      <c r="M42" s="443"/>
    </row>
    <row r="43" spans="1:13" ht="15">
      <c r="A43" s="1003"/>
      <c r="B43" s="1004"/>
      <c r="C43" s="443"/>
      <c r="D43" s="443"/>
      <c r="E43" s="443"/>
      <c r="F43" s="443"/>
      <c r="G43" s="443"/>
      <c r="H43" s="443"/>
      <c r="I43" s="443"/>
      <c r="J43" s="443"/>
      <c r="K43" s="443"/>
      <c r="L43" s="443"/>
      <c r="M43" s="443"/>
    </row>
    <row r="44" spans="1:13" ht="15">
      <c r="A44" s="446" t="s">
        <v>67</v>
      </c>
      <c r="B44" s="446"/>
      <c r="C44" s="443"/>
      <c r="D44" s="443"/>
      <c r="E44" s="443"/>
      <c r="F44" s="443"/>
      <c r="G44" s="443"/>
      <c r="H44" s="443"/>
      <c r="I44" s="443"/>
      <c r="J44" s="443"/>
      <c r="K44" s="443"/>
      <c r="L44" s="443"/>
      <c r="M44" s="443"/>
    </row>
    <row r="45" spans="1:13" ht="15">
      <c r="A45" s="1149" t="s">
        <v>148</v>
      </c>
      <c r="B45" s="1149"/>
      <c r="C45" s="1149" t="s">
        <v>149</v>
      </c>
      <c r="D45" s="1149"/>
      <c r="E45" s="1149"/>
      <c r="F45" s="1149"/>
      <c r="G45" s="481" t="s">
        <v>241</v>
      </c>
      <c r="H45" s="443"/>
      <c r="I45" s="443"/>
      <c r="J45" s="443"/>
      <c r="K45" s="443"/>
      <c r="L45" s="443"/>
      <c r="M45" s="443"/>
    </row>
    <row r="46" spans="1:13" ht="15">
      <c r="A46" s="480" t="s">
        <v>153</v>
      </c>
      <c r="B46" s="480" t="s">
        <v>154</v>
      </c>
      <c r="C46" s="480" t="s">
        <v>155</v>
      </c>
      <c r="D46" s="480" t="s">
        <v>242</v>
      </c>
      <c r="E46" s="480" t="s">
        <v>157</v>
      </c>
      <c r="F46" s="480" t="s">
        <v>55</v>
      </c>
      <c r="G46" s="482"/>
      <c r="H46" s="443"/>
      <c r="I46" s="443"/>
      <c r="J46" s="443"/>
      <c r="K46" s="443"/>
      <c r="L46" s="443"/>
      <c r="M46" s="443"/>
    </row>
    <row r="47" spans="1:13" ht="15">
      <c r="A47" s="483">
        <f>'WORK ONLY Atmospheric Pressure'!J18</f>
        <v>29.92126</v>
      </c>
      <c r="B47" s="484">
        <v>760</v>
      </c>
      <c r="C47" s="484">
        <v>14.696</v>
      </c>
      <c r="D47" s="485">
        <f>'F1 Meters to mB'!F7</f>
        <v>1.0333</v>
      </c>
      <c r="E47" s="1007">
        <f>F47/10</f>
        <v>101.325</v>
      </c>
      <c r="F47" s="486">
        <f>'WORK ONLY Atmospheric Pressure'!J32/100</f>
        <v>1013.25</v>
      </c>
      <c r="G47" s="486">
        <v>1</v>
      </c>
      <c r="H47" s="443"/>
      <c r="I47" s="443"/>
      <c r="J47" s="443"/>
      <c r="K47" s="443"/>
      <c r="L47" s="443"/>
      <c r="M47" s="443"/>
    </row>
    <row r="48" spans="1:13" ht="15">
      <c r="A48" s="443"/>
      <c r="B48" s="443"/>
      <c r="C48" s="443"/>
      <c r="D48" s="443"/>
      <c r="E48" s="443"/>
      <c r="F48" s="443"/>
      <c r="G48" s="443"/>
      <c r="H48" s="443"/>
      <c r="I48" s="443"/>
      <c r="J48" s="443"/>
      <c r="K48" s="443"/>
      <c r="L48" s="443"/>
      <c r="M48" s="443"/>
    </row>
    <row r="49" spans="1:13" ht="15">
      <c r="A49" s="450" t="s">
        <v>243</v>
      </c>
      <c r="B49" s="451" t="s">
        <v>55</v>
      </c>
      <c r="C49" s="443"/>
      <c r="D49" s="443"/>
      <c r="E49" s="443"/>
      <c r="F49" s="443"/>
      <c r="G49" s="443"/>
      <c r="H49" s="443"/>
      <c r="I49" s="443"/>
      <c r="J49" s="443"/>
      <c r="K49" s="443"/>
      <c r="L49" s="443"/>
      <c r="M49" s="443"/>
    </row>
    <row r="50" spans="1:13" ht="15">
      <c r="A50" s="467">
        <v>1</v>
      </c>
      <c r="B50" s="1005">
        <f>F47/A47</f>
        <v>33.863881400716416</v>
      </c>
      <c r="C50" s="443"/>
      <c r="D50" s="443"/>
      <c r="E50" s="443"/>
      <c r="F50" s="443"/>
      <c r="G50" s="443"/>
      <c r="H50" s="443"/>
      <c r="I50" s="443"/>
      <c r="J50" s="443"/>
      <c r="K50" s="443"/>
      <c r="L50" s="443"/>
      <c r="M50" s="443"/>
    </row>
    <row r="51" spans="1:13" ht="15">
      <c r="A51" s="443"/>
      <c r="B51" s="443"/>
      <c r="C51" s="443"/>
      <c r="D51" s="443"/>
      <c r="E51" s="443"/>
      <c r="F51" s="443"/>
      <c r="G51" s="443"/>
      <c r="H51" s="443"/>
      <c r="I51" s="443"/>
      <c r="J51" s="443"/>
      <c r="K51" s="443"/>
      <c r="L51" s="443"/>
      <c r="M51" s="443"/>
    </row>
    <row r="52" spans="1:13" ht="15">
      <c r="A52" s="450" t="s">
        <v>243</v>
      </c>
      <c r="B52" s="451" t="s">
        <v>244</v>
      </c>
      <c r="C52" s="443"/>
      <c r="D52" s="443"/>
      <c r="E52" s="443"/>
      <c r="F52" s="443"/>
      <c r="G52" s="443"/>
      <c r="H52" s="443"/>
      <c r="I52" s="443"/>
      <c r="J52" s="443"/>
      <c r="K52" s="443"/>
      <c r="L52" s="443"/>
      <c r="M52" s="443"/>
    </row>
    <row r="53" spans="1:13" ht="15">
      <c r="A53" s="467">
        <v>1</v>
      </c>
      <c r="B53" s="470">
        <f>B47/A47</f>
        <v>25.39999986631579</v>
      </c>
      <c r="C53" s="443"/>
      <c r="D53" s="443"/>
      <c r="E53" s="443"/>
      <c r="F53" s="443"/>
      <c r="G53" s="443"/>
      <c r="H53" s="443"/>
      <c r="I53" s="443"/>
      <c r="J53" s="443"/>
      <c r="K53" s="443"/>
      <c r="L53" s="443"/>
      <c r="M53" s="443"/>
    </row>
    <row r="54" spans="1:13" ht="15">
      <c r="A54" s="443"/>
      <c r="B54" s="443"/>
      <c r="C54" s="443"/>
      <c r="D54" s="443"/>
      <c r="E54" s="443"/>
      <c r="F54" s="443"/>
      <c r="G54" s="443"/>
      <c r="H54" s="443"/>
      <c r="I54" s="443"/>
      <c r="J54" s="443"/>
      <c r="K54" s="443"/>
      <c r="L54" s="443"/>
      <c r="M54" s="443"/>
    </row>
    <row r="55" spans="1:13" ht="15">
      <c r="A55" s="450" t="s">
        <v>243</v>
      </c>
      <c r="B55" s="451" t="s">
        <v>198</v>
      </c>
      <c r="C55" s="443"/>
      <c r="D55" s="443"/>
      <c r="E55" s="443"/>
      <c r="F55" s="443"/>
      <c r="G55" s="443"/>
      <c r="H55" s="443"/>
      <c r="I55" s="443"/>
      <c r="J55" s="443"/>
      <c r="K55" s="443"/>
      <c r="L55" s="443"/>
      <c r="M55" s="443"/>
    </row>
    <row r="56" spans="1:13" ht="15">
      <c r="A56" s="467">
        <v>1</v>
      </c>
      <c r="B56" s="469">
        <f>D47/A47</f>
        <v>0.034533973502452776</v>
      </c>
      <c r="C56" s="443"/>
      <c r="D56" s="443"/>
      <c r="E56" s="443"/>
      <c r="F56" s="443"/>
      <c r="G56" s="443"/>
      <c r="H56" s="443"/>
      <c r="I56" s="443"/>
      <c r="J56" s="443"/>
      <c r="K56" s="443"/>
      <c r="L56" s="443"/>
      <c r="M56" s="443"/>
    </row>
    <row r="57" spans="1:13" ht="15">
      <c r="A57" s="443"/>
      <c r="B57" s="443"/>
      <c r="C57" s="443"/>
      <c r="D57" s="443"/>
      <c r="E57" s="443"/>
      <c r="F57" s="443"/>
      <c r="G57" s="443"/>
      <c r="H57" s="443"/>
      <c r="I57" s="443"/>
      <c r="J57" s="443"/>
      <c r="K57" s="443"/>
      <c r="L57" s="443"/>
      <c r="M57" s="443"/>
    </row>
    <row r="58" spans="1:13" ht="15">
      <c r="A58" s="450" t="s">
        <v>243</v>
      </c>
      <c r="B58" s="451" t="s">
        <v>155</v>
      </c>
      <c r="C58" s="443"/>
      <c r="D58" s="443"/>
      <c r="E58" s="443"/>
      <c r="F58" s="443"/>
      <c r="G58" s="443"/>
      <c r="H58" s="443"/>
      <c r="I58" s="443"/>
      <c r="J58" s="443"/>
      <c r="K58" s="443"/>
      <c r="L58" s="443"/>
      <c r="M58" s="443"/>
    </row>
    <row r="59" spans="1:13" ht="15">
      <c r="A59" s="467">
        <v>1</v>
      </c>
      <c r="B59" s="470">
        <f>C47/A47</f>
        <v>0.49115578688865374</v>
      </c>
      <c r="C59" s="443"/>
      <c r="D59" s="443"/>
      <c r="E59" s="443"/>
      <c r="F59" s="443"/>
      <c r="G59" s="443"/>
      <c r="H59" s="443"/>
      <c r="I59" s="443"/>
      <c r="J59" s="443"/>
      <c r="K59" s="443"/>
      <c r="L59" s="443"/>
      <c r="M59" s="443"/>
    </row>
    <row r="60" spans="3:13" ht="15">
      <c r="C60" s="443"/>
      <c r="D60" s="443"/>
      <c r="E60" s="443"/>
      <c r="F60" s="443"/>
      <c r="G60" s="443"/>
      <c r="H60" s="443"/>
      <c r="I60" s="443"/>
      <c r="J60" s="443"/>
      <c r="K60" s="443"/>
      <c r="L60" s="443"/>
      <c r="M60" s="443"/>
    </row>
    <row r="61" spans="1:13" ht="15">
      <c r="A61" s="450" t="s">
        <v>243</v>
      </c>
      <c r="B61" s="451" t="s">
        <v>150</v>
      </c>
      <c r="C61" s="443"/>
      <c r="D61" s="443"/>
      <c r="E61" s="443"/>
      <c r="F61" s="443"/>
      <c r="G61" s="443"/>
      <c r="H61" s="443"/>
      <c r="I61" s="443"/>
      <c r="J61" s="443"/>
      <c r="K61" s="443"/>
      <c r="L61" s="443"/>
      <c r="M61" s="443"/>
    </row>
    <row r="62" spans="1:13" ht="15">
      <c r="A62" s="467">
        <v>1</v>
      </c>
      <c r="B62" s="1005">
        <f>1/29.92</f>
        <v>0.03342245989304812</v>
      </c>
      <c r="C62" s="443"/>
      <c r="D62" s="443"/>
      <c r="E62" s="443"/>
      <c r="F62" s="443"/>
      <c r="G62" s="443"/>
      <c r="H62" s="443"/>
      <c r="I62" s="443"/>
      <c r="J62" s="443"/>
      <c r="K62" s="443"/>
      <c r="L62" s="443"/>
      <c r="M62" s="443"/>
    </row>
    <row r="63" spans="6:13" ht="15">
      <c r="F63" s="443"/>
      <c r="G63" s="443"/>
      <c r="H63" s="443"/>
      <c r="I63" s="443"/>
      <c r="J63" s="443"/>
      <c r="K63" s="443"/>
      <c r="L63" s="443"/>
      <c r="M63" s="443"/>
    </row>
    <row r="64" spans="1:13" ht="15">
      <c r="A64" s="995" t="s">
        <v>214</v>
      </c>
      <c r="F64" s="443"/>
      <c r="G64" s="443"/>
      <c r="H64" s="443"/>
      <c r="I64" s="443"/>
      <c r="J64" s="443"/>
      <c r="K64" s="443"/>
      <c r="L64" s="443"/>
      <c r="M64" s="443"/>
    </row>
    <row r="65" spans="1:13" ht="15">
      <c r="A65" s="997" t="s">
        <v>236</v>
      </c>
      <c r="B65" s="997" t="s">
        <v>238</v>
      </c>
      <c r="C65" s="997" t="s">
        <v>239</v>
      </c>
      <c r="D65" s="997" t="s">
        <v>240</v>
      </c>
      <c r="F65" s="443"/>
      <c r="G65" s="443"/>
      <c r="H65" s="443"/>
      <c r="I65" s="443"/>
      <c r="J65" s="443"/>
      <c r="K65" s="443"/>
      <c r="L65" s="443"/>
      <c r="M65" s="443"/>
    </row>
    <row r="66" spans="1:13" ht="15">
      <c r="A66" s="995" t="s">
        <v>405</v>
      </c>
      <c r="F66" s="443"/>
      <c r="G66" s="443"/>
      <c r="H66" s="443"/>
      <c r="I66" s="443"/>
      <c r="J66" s="443"/>
      <c r="K66" s="443"/>
      <c r="L66" s="443"/>
      <c r="M66" s="443"/>
    </row>
    <row r="67" spans="1:13" ht="15">
      <c r="A67" s="477">
        <f>1/33.8637526</f>
        <v>0.029530099980709167</v>
      </c>
      <c r="B67" s="479">
        <v>0.7500616827041697</v>
      </c>
      <c r="C67" s="477">
        <f>C47/F47</f>
        <v>0.014503824327658524</v>
      </c>
      <c r="D67" s="477">
        <v>0.0010197878114976563</v>
      </c>
      <c r="E67" s="443"/>
      <c r="F67" s="443"/>
      <c r="G67" s="443"/>
      <c r="H67" s="443"/>
      <c r="I67" s="443"/>
      <c r="J67" s="443"/>
      <c r="K67" s="443"/>
      <c r="L67" s="443"/>
      <c r="M67" s="443"/>
    </row>
    <row r="68" spans="2:13" ht="15">
      <c r="B68" s="447"/>
      <c r="C68" s="443"/>
      <c r="D68" s="443"/>
      <c r="E68" s="443"/>
      <c r="F68" s="443"/>
      <c r="G68" s="443"/>
      <c r="H68" s="443"/>
      <c r="I68" s="443"/>
      <c r="J68" s="443"/>
      <c r="K68" s="443"/>
      <c r="L68" s="443"/>
      <c r="M68" s="443"/>
    </row>
    <row r="69" spans="3:13" ht="15">
      <c r="C69" s="443"/>
      <c r="D69" s="443"/>
      <c r="E69" s="443"/>
      <c r="F69" s="443"/>
      <c r="G69" s="443"/>
      <c r="H69" s="443"/>
      <c r="I69" s="443"/>
      <c r="J69" s="443"/>
      <c r="K69" s="443"/>
      <c r="L69" s="443"/>
      <c r="M69" s="443"/>
    </row>
    <row r="70" spans="6:13" ht="15">
      <c r="F70" s="443"/>
      <c r="G70" s="443"/>
      <c r="H70" s="443"/>
      <c r="I70" s="443"/>
      <c r="J70" s="443"/>
      <c r="K70" s="443"/>
      <c r="L70" s="443"/>
      <c r="M70" s="443"/>
    </row>
    <row r="71" spans="6:13" ht="15">
      <c r="F71" s="443"/>
      <c r="G71" s="443"/>
      <c r="H71" s="443"/>
      <c r="I71" s="443"/>
      <c r="J71" s="443"/>
      <c r="K71" s="443"/>
      <c r="L71" s="443"/>
      <c r="M71" s="443"/>
    </row>
    <row r="72" spans="8:13" ht="15">
      <c r="H72" s="443"/>
      <c r="I72" s="443"/>
      <c r="J72" s="443"/>
      <c r="K72" s="443"/>
      <c r="L72" s="443"/>
      <c r="M72" s="443"/>
    </row>
    <row r="73" spans="9:13" ht="15">
      <c r="I73" s="443"/>
      <c r="J73" s="443"/>
      <c r="K73" s="443"/>
      <c r="L73" s="443"/>
      <c r="M73" s="443"/>
    </row>
    <row r="74" spans="9:13" ht="15">
      <c r="I74" s="443"/>
      <c r="J74" s="443"/>
      <c r="K74" s="443"/>
      <c r="L74" s="443"/>
      <c r="M74" s="443"/>
    </row>
    <row r="75" spans="9:13" ht="15">
      <c r="I75" s="443"/>
      <c r="J75" s="443"/>
      <c r="K75" s="443"/>
      <c r="L75" s="443"/>
      <c r="M75" s="443"/>
    </row>
    <row r="76" spans="8:13" ht="15">
      <c r="H76" s="443"/>
      <c r="I76" s="443"/>
      <c r="J76" s="443"/>
      <c r="K76" s="443"/>
      <c r="L76" s="443"/>
      <c r="M76" s="443"/>
    </row>
    <row r="77" spans="8:13" ht="15">
      <c r="H77" s="443"/>
      <c r="I77" s="443"/>
      <c r="J77" s="443"/>
      <c r="K77" s="443"/>
      <c r="L77" s="443"/>
      <c r="M77" s="443"/>
    </row>
    <row r="78" spans="8:13" ht="15">
      <c r="H78" s="443"/>
      <c r="I78" s="443"/>
      <c r="J78" s="443"/>
      <c r="K78" s="443"/>
      <c r="L78" s="443"/>
      <c r="M78" s="443"/>
    </row>
    <row r="79" ht="13.5" customHeight="1"/>
    <row r="83" spans="9:13" ht="14.25" customHeight="1">
      <c r="I83" s="443"/>
      <c r="J83" s="443"/>
      <c r="K83" s="443"/>
      <c r="L83" s="443"/>
      <c r="M83" s="443"/>
    </row>
    <row r="84" ht="14.25" customHeight="1"/>
    <row r="87" spans="6:13" ht="15">
      <c r="F87" s="443"/>
      <c r="G87" s="443"/>
      <c r="H87" s="443"/>
      <c r="I87" s="443"/>
      <c r="J87" s="443"/>
      <c r="K87" s="443"/>
      <c r="L87" s="443"/>
      <c r="M87" s="443"/>
    </row>
    <row r="88" spans="6:13" ht="15">
      <c r="F88" s="443"/>
      <c r="G88" s="443"/>
      <c r="H88" s="443"/>
      <c r="I88" s="443"/>
      <c r="J88" s="443"/>
      <c r="K88" s="443"/>
      <c r="L88" s="443"/>
      <c r="M88" s="443"/>
    </row>
    <row r="89" spans="6:13" ht="15">
      <c r="F89" s="443"/>
      <c r="G89" s="443"/>
      <c r="H89" s="443"/>
      <c r="I89" s="443"/>
      <c r="J89" s="443"/>
      <c r="K89" s="443"/>
      <c r="L89" s="443"/>
      <c r="M89" s="443"/>
    </row>
    <row r="90" spans="3:13" ht="15">
      <c r="C90" s="443"/>
      <c r="D90" s="443"/>
      <c r="E90" s="443"/>
      <c r="F90" s="443"/>
      <c r="G90" s="443"/>
      <c r="H90" s="443"/>
      <c r="I90" s="443"/>
      <c r="J90" s="443"/>
      <c r="K90" s="443"/>
      <c r="L90" s="443"/>
      <c r="M90" s="443"/>
    </row>
    <row r="91" spans="3:13" ht="15">
      <c r="C91" s="443"/>
      <c r="D91" s="443"/>
      <c r="E91" s="443"/>
      <c r="F91" s="443"/>
      <c r="G91" s="443"/>
      <c r="H91" s="443"/>
      <c r="I91" s="443"/>
      <c r="J91" s="443"/>
      <c r="K91" s="443"/>
      <c r="L91" s="443"/>
      <c r="M91" s="443"/>
    </row>
    <row r="92" spans="3:13" ht="15">
      <c r="C92" s="443"/>
      <c r="D92" s="443"/>
      <c r="E92" s="443"/>
      <c r="F92" s="443"/>
      <c r="G92" s="443"/>
      <c r="H92" s="443"/>
      <c r="I92" s="443"/>
      <c r="J92" s="443"/>
      <c r="K92" s="443"/>
      <c r="L92" s="443"/>
      <c r="M92" s="443"/>
    </row>
    <row r="93" spans="3:13" ht="15">
      <c r="C93" s="443"/>
      <c r="D93" s="443"/>
      <c r="E93" s="443"/>
      <c r="F93" s="443"/>
      <c r="G93" s="443"/>
      <c r="H93" s="443"/>
      <c r="I93" s="443"/>
      <c r="J93" s="443"/>
      <c r="K93" s="443"/>
      <c r="L93" s="443"/>
      <c r="M93" s="443"/>
    </row>
    <row r="94" spans="3:13" ht="15">
      <c r="C94" s="443"/>
      <c r="D94" s="443"/>
      <c r="E94" s="443"/>
      <c r="F94" s="443"/>
      <c r="G94" s="443"/>
      <c r="H94" s="443"/>
      <c r="I94" s="443"/>
      <c r="J94" s="443"/>
      <c r="K94" s="443"/>
      <c r="L94" s="443"/>
      <c r="M94" s="443"/>
    </row>
    <row r="95" spans="3:13" ht="15">
      <c r="C95" s="443"/>
      <c r="D95" s="443"/>
      <c r="E95" s="443"/>
      <c r="F95" s="443"/>
      <c r="G95" s="443"/>
      <c r="H95" s="443"/>
      <c r="I95" s="443"/>
      <c r="J95" s="443"/>
      <c r="K95" s="443"/>
      <c r="L95" s="443"/>
      <c r="M95" s="443"/>
    </row>
    <row r="96" spans="3:13" ht="15">
      <c r="C96" s="443"/>
      <c r="D96" s="443"/>
      <c r="E96" s="443"/>
      <c r="F96" s="443"/>
      <c r="G96" s="443"/>
      <c r="H96" s="443"/>
      <c r="I96" s="443"/>
      <c r="J96" s="443"/>
      <c r="K96" s="443"/>
      <c r="L96" s="443"/>
      <c r="M96" s="443"/>
    </row>
    <row r="97" spans="3:13" ht="15">
      <c r="C97" s="443"/>
      <c r="D97" s="443"/>
      <c r="E97" s="443"/>
      <c r="F97" s="443"/>
      <c r="G97" s="443"/>
      <c r="H97" s="443"/>
      <c r="I97" s="443"/>
      <c r="J97" s="443"/>
      <c r="K97" s="443"/>
      <c r="L97" s="443"/>
      <c r="M97" s="443"/>
    </row>
    <row r="98" spans="3:13" ht="15">
      <c r="C98" s="443"/>
      <c r="D98" s="443"/>
      <c r="E98" s="443"/>
      <c r="F98" s="443"/>
      <c r="G98" s="443"/>
      <c r="H98" s="443"/>
      <c r="I98" s="443"/>
      <c r="J98" s="443"/>
      <c r="K98" s="443"/>
      <c r="L98" s="443"/>
      <c r="M98" s="443"/>
    </row>
    <row r="99" spans="3:13" ht="15">
      <c r="C99" s="443"/>
      <c r="D99" s="443"/>
      <c r="E99" s="443"/>
      <c r="F99" s="443"/>
      <c r="G99" s="443"/>
      <c r="H99" s="443"/>
      <c r="I99" s="443"/>
      <c r="J99" s="443"/>
      <c r="K99" s="443"/>
      <c r="L99" s="443"/>
      <c r="M99" s="443"/>
    </row>
  </sheetData>
  <sheetProtection sheet="1" objects="1" scenarios="1"/>
  <mergeCells count="5">
    <mergeCell ref="A1:D1"/>
    <mergeCell ref="A3:B3"/>
    <mergeCell ref="D3:E3"/>
    <mergeCell ref="A45:B45"/>
    <mergeCell ref="C45:F45"/>
  </mergeCells>
  <printOptions/>
  <pageMargins left="0.7" right="0.7" top="0.75" bottom="0.75" header="0.5118055555555555" footer="0.511805555555555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Z1028"/>
  <sheetViews>
    <sheetView showGridLines="0" zoomScalePageLayoutView="0" workbookViewId="0" topLeftCell="A1">
      <selection activeCell="A1" sqref="A1:G1"/>
    </sheetView>
  </sheetViews>
  <sheetFormatPr defaultColWidth="9.140625" defaultRowHeight="15"/>
  <cols>
    <col min="1" max="1" width="10.7109375" style="0" customWidth="1"/>
    <col min="2" max="2" width="11.00390625" style="0" customWidth="1"/>
    <col min="3" max="3" width="10.7109375" style="0" customWidth="1"/>
    <col min="4" max="4" width="12.00390625" style="0" customWidth="1"/>
    <col min="5" max="5" width="13.140625" style="0" customWidth="1"/>
    <col min="6" max="10" width="10.7109375" style="0" customWidth="1"/>
    <col min="11" max="11" width="5.7109375" style="0" customWidth="1"/>
    <col min="12" max="12" width="16.28125" style="0" customWidth="1"/>
    <col min="13" max="13" width="5.7109375" style="232" customWidth="1"/>
    <col min="14" max="14" width="5.7109375" style="0" customWidth="1"/>
    <col min="15" max="15" width="16.00390625" style="0" customWidth="1"/>
    <col min="16" max="16" width="35.8515625" style="0" customWidth="1"/>
    <col min="17" max="17" width="3.140625" style="0" customWidth="1"/>
    <col min="18" max="18" width="7.421875" style="0" customWidth="1"/>
    <col min="19" max="19" width="19.8515625" style="0" customWidth="1"/>
    <col min="20" max="20" width="25.57421875" style="0" customWidth="1"/>
    <col min="21" max="21" width="26.57421875" style="0" customWidth="1"/>
    <col min="22" max="24" width="27.57421875" style="0" customWidth="1"/>
    <col min="25" max="25" width="13.421875" style="0" customWidth="1"/>
  </cols>
  <sheetData>
    <row r="1" spans="1:8" ht="18.75">
      <c r="A1" s="1150" t="s">
        <v>370</v>
      </c>
      <c r="B1" s="1150"/>
      <c r="C1" s="1150"/>
      <c r="D1" s="1150"/>
      <c r="E1" s="1150"/>
      <c r="F1" s="1150"/>
      <c r="G1" s="1150"/>
      <c r="H1" s="183"/>
    </row>
    <row r="2" spans="1:15" ht="15">
      <c r="A2" s="3" t="s">
        <v>245</v>
      </c>
      <c r="H2" s="487" t="s">
        <v>246</v>
      </c>
      <c r="O2" s="827" t="s">
        <v>338</v>
      </c>
    </row>
    <row r="3" spans="1:9" ht="15">
      <c r="A3" s="79" t="s">
        <v>247</v>
      </c>
      <c r="B3" t="s">
        <v>248</v>
      </c>
      <c r="G3" s="989"/>
      <c r="H3" s="990" t="s">
        <v>247</v>
      </c>
      <c r="I3" s="65" t="str">
        <f>SUBSTITUTE(SUBSTITUTE(SUBSTITUTE(SUBSTITUTE(B3,"R*","R_star"),"^","**"),"]",")"),"[","(")</f>
        <v>= Pb * (  ( Tb / ( Tb + ( Lb * (h-hb) ) ) ) ** ( (g0*M) / (R_star*Lb) )  )</v>
      </c>
    </row>
    <row r="4" spans="1:8" ht="15">
      <c r="A4" s="79" t="s">
        <v>247</v>
      </c>
      <c r="B4" t="s">
        <v>249</v>
      </c>
      <c r="G4" s="989"/>
      <c r="H4" s="990"/>
    </row>
    <row r="5" spans="1:13" ht="15">
      <c r="A5" s="79"/>
      <c r="B5" t="s">
        <v>250</v>
      </c>
      <c r="G5" s="989"/>
      <c r="H5" s="990"/>
      <c r="M5" s="3" t="s">
        <v>400</v>
      </c>
    </row>
    <row r="6" spans="7:14" ht="15">
      <c r="G6" s="989"/>
      <c r="H6" s="990"/>
      <c r="N6" s="426" t="s">
        <v>393</v>
      </c>
    </row>
    <row r="7" spans="1:14" ht="15">
      <c r="A7" s="3" t="s">
        <v>251</v>
      </c>
      <c r="G7" s="989"/>
      <c r="H7" s="990"/>
      <c r="N7" s="426" t="s">
        <v>394</v>
      </c>
    </row>
    <row r="8" spans="1:14" ht="15">
      <c r="A8" s="79" t="s">
        <v>247</v>
      </c>
      <c r="B8" t="s">
        <v>252</v>
      </c>
      <c r="G8" s="989"/>
      <c r="H8" s="990" t="s">
        <v>247</v>
      </c>
      <c r="I8" s="65" t="str">
        <f>SUBSTITUTE(SUBSTITUTE(SUBSTITUTE(SUBSTITUTE(B8,"R*","R_star"),"e^","exp"),"]",")"),"[","(")</f>
        <v>= Pb * exp (   ( - g0 * M * (h-hb) ) / (R_star*Tb ) ) </v>
      </c>
      <c r="N8" s="426" t="s">
        <v>398</v>
      </c>
    </row>
    <row r="9" spans="1:14" ht="15">
      <c r="A9" s="79" t="s">
        <v>247</v>
      </c>
      <c r="B9" t="s">
        <v>253</v>
      </c>
      <c r="G9" s="989"/>
      <c r="H9" s="65"/>
      <c r="N9" s="426" t="s">
        <v>395</v>
      </c>
    </row>
    <row r="10" spans="2:14" ht="15">
      <c r="B10" t="s">
        <v>254</v>
      </c>
      <c r="G10" s="989"/>
      <c r="H10" s="65"/>
      <c r="N10" s="426" t="s">
        <v>397</v>
      </c>
    </row>
    <row r="11" spans="8:14" ht="15">
      <c r="H11" s="183"/>
      <c r="N11" s="426" t="s">
        <v>396</v>
      </c>
    </row>
    <row r="12" spans="1:14" ht="15">
      <c r="A12" t="s">
        <v>255</v>
      </c>
      <c r="H12" s="183"/>
      <c r="N12" s="426" t="s">
        <v>402</v>
      </c>
    </row>
    <row r="13" spans="1:14" ht="15">
      <c r="A13" s="488" t="s">
        <v>256</v>
      </c>
      <c r="N13" s="426" t="s">
        <v>399</v>
      </c>
    </row>
    <row r="14" spans="1:14" ht="15.75">
      <c r="A14" s="489" t="s">
        <v>11</v>
      </c>
      <c r="B14" s="490" t="s">
        <v>257</v>
      </c>
      <c r="C14" s="490" t="s">
        <v>258</v>
      </c>
      <c r="D14" s="491" t="s">
        <v>259</v>
      </c>
      <c r="E14" s="490" t="s">
        <v>260</v>
      </c>
      <c r="F14" s="492" t="s">
        <v>261</v>
      </c>
      <c r="G14" s="493" t="s">
        <v>262</v>
      </c>
      <c r="H14" s="492" t="s">
        <v>263</v>
      </c>
      <c r="I14" s="493"/>
      <c r="J14" s="492" t="s">
        <v>247</v>
      </c>
      <c r="K14" s="1151" t="s">
        <v>264</v>
      </c>
      <c r="L14" s="494" t="s">
        <v>265</v>
      </c>
      <c r="M14"/>
      <c r="N14" s="426" t="s">
        <v>401</v>
      </c>
    </row>
    <row r="15" spans="1:13" ht="15">
      <c r="A15" s="495"/>
      <c r="B15" s="496" t="s">
        <v>266</v>
      </c>
      <c r="C15" s="496" t="s">
        <v>267</v>
      </c>
      <c r="D15" s="496" t="s">
        <v>268</v>
      </c>
      <c r="E15" s="496" t="s">
        <v>269</v>
      </c>
      <c r="F15" s="496" t="s">
        <v>270</v>
      </c>
      <c r="G15" s="496" t="s">
        <v>271</v>
      </c>
      <c r="H15" s="496" t="s">
        <v>272</v>
      </c>
      <c r="I15" s="496" t="s">
        <v>272</v>
      </c>
      <c r="J15" s="496" t="s">
        <v>273</v>
      </c>
      <c r="K15" s="1151"/>
      <c r="L15" s="497"/>
      <c r="M15"/>
    </row>
    <row r="16" spans="1:13" ht="23.25">
      <c r="A16" s="498"/>
      <c r="B16" s="499" t="s">
        <v>274</v>
      </c>
      <c r="C16" s="499" t="s">
        <v>274</v>
      </c>
      <c r="D16" s="499" t="s">
        <v>274</v>
      </c>
      <c r="E16" s="499" t="s">
        <v>274</v>
      </c>
      <c r="F16" s="500" t="s">
        <v>275</v>
      </c>
      <c r="G16" s="500" t="s">
        <v>275</v>
      </c>
      <c r="H16" s="500" t="s">
        <v>275</v>
      </c>
      <c r="I16" s="500" t="s">
        <v>276</v>
      </c>
      <c r="J16" s="501" t="s">
        <v>277</v>
      </c>
      <c r="K16" s="1151"/>
      <c r="L16" s="497"/>
      <c r="M16"/>
    </row>
    <row r="17" spans="1:14" ht="81">
      <c r="A17" s="502"/>
      <c r="B17" s="503" t="s">
        <v>278</v>
      </c>
      <c r="C17" s="503" t="s">
        <v>279</v>
      </c>
      <c r="D17" s="503" t="s">
        <v>280</v>
      </c>
      <c r="E17" s="503" t="s">
        <v>281</v>
      </c>
      <c r="F17" s="503" t="s">
        <v>282</v>
      </c>
      <c r="G17" s="503" t="s">
        <v>283</v>
      </c>
      <c r="H17" s="503" t="s">
        <v>284</v>
      </c>
      <c r="I17" s="503" t="s">
        <v>285</v>
      </c>
      <c r="J17" s="504" t="s">
        <v>286</v>
      </c>
      <c r="K17" s="1151"/>
      <c r="L17" s="428"/>
      <c r="M17" s="944" t="s">
        <v>287</v>
      </c>
      <c r="N17" s="942" t="s">
        <v>11</v>
      </c>
    </row>
    <row r="18" spans="1:14" ht="15">
      <c r="A18" s="505">
        <v>0</v>
      </c>
      <c r="B18" s="506">
        <f>'Standard Atmosphere US'!E9</f>
        <v>0</v>
      </c>
      <c r="C18" s="507">
        <f>'Standard Atmosphere US'!G45</f>
        <v>29.92126</v>
      </c>
      <c r="D18" s="508">
        <f>'Standard Atmosphere US'!I58</f>
        <v>288.15</v>
      </c>
      <c r="E18" s="509">
        <f>'Standard Atmosphere US'!I71</f>
        <v>-0.0019812</v>
      </c>
      <c r="F18" s="510">
        <v>89.494596</v>
      </c>
      <c r="G18" s="511">
        <v>32.17405</v>
      </c>
      <c r="H18" s="512">
        <v>0.0289644</v>
      </c>
      <c r="I18" s="513">
        <v>0</v>
      </c>
      <c r="J18" s="514">
        <f>C18*((D18/(D18+(E18*(I18-B18))))^((G$18*H$18)/(F$18*E18)))</f>
        <v>29.92126</v>
      </c>
      <c r="K18" s="515">
        <v>1</v>
      </c>
      <c r="L18" s="516" t="str">
        <f aca="true" t="shared" si="0" ref="L18:L24">CONCATENATE(TEXT(B18,"#,###")," to ",TEXT((B19-1),"#,###"))</f>
        <v> to 36,088</v>
      </c>
      <c r="M18" s="943">
        <f ca="1">CELL("row",M18)</f>
        <v>18</v>
      </c>
      <c r="N18" s="515">
        <f aca="true" t="shared" si="1" ref="N18:N24">A18</f>
        <v>0</v>
      </c>
    </row>
    <row r="19" spans="1:14" ht="15">
      <c r="A19" s="505">
        <v>1</v>
      </c>
      <c r="B19" s="517">
        <f>'Standard Atmosphere US'!E10</f>
        <v>36089.2</v>
      </c>
      <c r="C19" s="508">
        <f>'Standard Atmosphere US'!G46</f>
        <v>6.683245</v>
      </c>
      <c r="D19" s="508">
        <f>'Standard Atmosphere US'!I59</f>
        <v>216.65</v>
      </c>
      <c r="E19" s="509">
        <f>'Standard Atmosphere US'!I72</f>
        <v>0</v>
      </c>
      <c r="F19" s="518"/>
      <c r="G19" s="518"/>
      <c r="H19" s="519"/>
      <c r="I19" s="520">
        <v>45000</v>
      </c>
      <c r="J19" s="514">
        <f>C19*EXP((-G$18*H$18*(I19-B19))/(F$18*D19))</f>
        <v>4.354980065802683</v>
      </c>
      <c r="K19" s="521">
        <v>2</v>
      </c>
      <c r="L19" s="516" t="str">
        <f t="shared" si="0"/>
        <v>36,089 to 65,616</v>
      </c>
      <c r="M19" s="943">
        <f aca="true" ca="1" t="shared" si="2" ref="M19:M24">CELL("row",M19)</f>
        <v>19</v>
      </c>
      <c r="N19" s="521">
        <f t="shared" si="1"/>
        <v>1</v>
      </c>
    </row>
    <row r="20" spans="1:14" ht="15">
      <c r="A20" s="505">
        <v>2</v>
      </c>
      <c r="B20" s="517">
        <f>'Standard Atmosphere US'!E11</f>
        <v>65616.8</v>
      </c>
      <c r="C20" s="508">
        <f>'Standard Atmosphere US'!G47</f>
        <v>1.616734</v>
      </c>
      <c r="D20" s="508">
        <f>'Standard Atmosphere US'!I60</f>
        <v>216.65</v>
      </c>
      <c r="E20" s="509">
        <f>'Standard Atmosphere US'!I73</f>
        <v>0.0003048</v>
      </c>
      <c r="F20" s="518"/>
      <c r="G20" s="518"/>
      <c r="H20" s="519"/>
      <c r="I20" s="520">
        <v>70000</v>
      </c>
      <c r="J20" s="514">
        <f>C20*((D20/(D20+(E20*(I20-B20))))^((G$18*H$18)/(F$18*E20)))</f>
        <v>1.3104667158405345</v>
      </c>
      <c r="K20" s="522">
        <v>1</v>
      </c>
      <c r="L20" s="523" t="str">
        <f t="shared" si="0"/>
        <v>65,617 to 104,986</v>
      </c>
      <c r="M20" s="943">
        <f ca="1" t="shared" si="2"/>
        <v>20</v>
      </c>
      <c r="N20" s="522">
        <f t="shared" si="1"/>
        <v>2</v>
      </c>
    </row>
    <row r="21" spans="1:14" ht="15">
      <c r="A21" s="505">
        <v>3</v>
      </c>
      <c r="B21" s="517">
        <f>'Standard Atmosphere US'!E12</f>
        <v>104986.9</v>
      </c>
      <c r="C21" s="508">
        <f>'Standard Atmosphere US'!G48</f>
        <v>0.2563258</v>
      </c>
      <c r="D21" s="508">
        <f>'Standard Atmosphere US'!I61</f>
        <v>228.65</v>
      </c>
      <c r="E21" s="509">
        <f>'Standard Atmosphere US'!I74</f>
        <v>0.00085344</v>
      </c>
      <c r="F21" s="518"/>
      <c r="G21" s="519"/>
      <c r="H21" s="519"/>
      <c r="I21" s="524">
        <v>105000</v>
      </c>
      <c r="J21" s="514">
        <f>C21*((D21/(D21+(E21*(I21-B21))))^((G$18*H$18)/(F$18*E21)))</f>
        <v>0.2561729287863446</v>
      </c>
      <c r="K21" s="522">
        <v>1</v>
      </c>
      <c r="L21" s="525" t="str">
        <f t="shared" si="0"/>
        <v>104,987 to 154,199</v>
      </c>
      <c r="M21" s="943">
        <f ca="1" t="shared" si="2"/>
        <v>21</v>
      </c>
      <c r="N21" s="522">
        <f t="shared" si="1"/>
        <v>3</v>
      </c>
    </row>
    <row r="22" spans="1:14" ht="15">
      <c r="A22" s="505">
        <v>4</v>
      </c>
      <c r="B22" s="517">
        <f>'Standard Atmosphere US'!E13</f>
        <v>154199.5</v>
      </c>
      <c r="C22" s="508">
        <f>'Standard Atmosphere US'!G49</f>
        <v>0.0327505</v>
      </c>
      <c r="D22" s="508">
        <f>'Standard Atmosphere US'!I62</f>
        <v>270.65</v>
      </c>
      <c r="E22" s="509">
        <f>'Standard Atmosphere US'!I75</f>
        <v>0</v>
      </c>
      <c r="F22" s="518"/>
      <c r="G22" s="519"/>
      <c r="H22" s="519"/>
      <c r="I22" s="524">
        <v>160000</v>
      </c>
      <c r="J22" s="514">
        <f>C22*EXP((-G$18*H$18*(I22-B22))/(F$18*D22))</f>
        <v>0.026199773776000086</v>
      </c>
      <c r="K22" s="526">
        <v>2</v>
      </c>
      <c r="L22" s="516" t="str">
        <f t="shared" si="0"/>
        <v>154,200 to 167,322</v>
      </c>
      <c r="M22" s="943">
        <f ca="1" t="shared" si="2"/>
        <v>22</v>
      </c>
      <c r="N22" s="526">
        <f t="shared" si="1"/>
        <v>4</v>
      </c>
    </row>
    <row r="23" spans="1:14" ht="15">
      <c r="A23" s="527">
        <v>5</v>
      </c>
      <c r="B23" s="517">
        <f>'Standard Atmosphere US'!E14</f>
        <v>167322.8</v>
      </c>
      <c r="C23" s="508">
        <f>'Standard Atmosphere US'!G50</f>
        <v>0.01976704</v>
      </c>
      <c r="D23" s="508">
        <f>'Standard Atmosphere US'!I63</f>
        <v>270.65</v>
      </c>
      <c r="E23" s="509">
        <f>'Standard Atmosphere US'!I76</f>
        <v>-0.00085344</v>
      </c>
      <c r="F23" s="518"/>
      <c r="G23" s="519"/>
      <c r="H23" s="519"/>
      <c r="I23" s="524">
        <v>175000</v>
      </c>
      <c r="J23" s="514">
        <f>C23*((D23/(D23+(E23*(I23-B23))))^((G$18*H$18)/(F$18*E23)))</f>
        <v>0.014658356716614598</v>
      </c>
      <c r="K23" s="528">
        <v>1</v>
      </c>
      <c r="L23" s="516" t="str">
        <f t="shared" si="0"/>
        <v>167,323 to 232,939</v>
      </c>
      <c r="M23" s="943">
        <f ca="1" t="shared" si="2"/>
        <v>23</v>
      </c>
      <c r="N23" s="528">
        <f t="shared" si="1"/>
        <v>5</v>
      </c>
    </row>
    <row r="24" spans="1:14" ht="15">
      <c r="A24" s="529">
        <v>6</v>
      </c>
      <c r="B24" s="506">
        <f>'Standard Atmosphere US'!E15</f>
        <v>232939.6</v>
      </c>
      <c r="C24" s="508">
        <f>'Standard Atmosphere US'!G51</f>
        <v>0.00116833</v>
      </c>
      <c r="D24" s="508">
        <f>'Standard Atmosphere US'!I64</f>
        <v>214.65</v>
      </c>
      <c r="E24" s="509">
        <f>'Standard Atmosphere US'!I77</f>
        <v>-0.0006097</v>
      </c>
      <c r="F24" s="530"/>
      <c r="G24" s="531"/>
      <c r="H24" s="531"/>
      <c r="I24" s="506">
        <v>250000</v>
      </c>
      <c r="J24" s="532">
        <f>C24*((D24/(D24+(E24*(I24-B24))))^((G$18*H$18)/(F$18*E24)))</f>
        <v>0.0005001879648791213</v>
      </c>
      <c r="K24" s="533">
        <v>1</v>
      </c>
      <c r="L24" s="516" t="str">
        <f t="shared" si="0"/>
        <v>232,940 to 278,385</v>
      </c>
      <c r="M24" s="943">
        <f ca="1" t="shared" si="2"/>
        <v>24</v>
      </c>
      <c r="N24" s="533">
        <f t="shared" si="1"/>
        <v>6</v>
      </c>
    </row>
    <row r="25" spans="1:14" ht="15">
      <c r="A25" s="534">
        <v>7</v>
      </c>
      <c r="B25" s="535">
        <f>'Standard Atmosphere US'!E16</f>
        <v>278385.8</v>
      </c>
      <c r="C25" s="536"/>
      <c r="D25" s="536"/>
      <c r="E25" s="536"/>
      <c r="F25" s="536"/>
      <c r="G25" s="536"/>
      <c r="H25" s="536"/>
      <c r="I25" s="536"/>
      <c r="J25" s="536"/>
      <c r="K25" s="536"/>
      <c r="L25" s="536"/>
      <c r="M25" s="537"/>
      <c r="N25" s="538"/>
    </row>
    <row r="26" spans="1:14" ht="15">
      <c r="A26" s="232"/>
      <c r="M26" s="65"/>
      <c r="N26" s="232"/>
    </row>
    <row r="27" spans="1:14" ht="15">
      <c r="A27" s="488" t="s">
        <v>22</v>
      </c>
      <c r="J27" s="432"/>
      <c r="M27"/>
      <c r="N27" s="232"/>
    </row>
    <row r="28" spans="1:14" ht="15.75">
      <c r="A28" s="489" t="s">
        <v>11</v>
      </c>
      <c r="B28" s="490" t="s">
        <v>257</v>
      </c>
      <c r="C28" s="490" t="s">
        <v>258</v>
      </c>
      <c r="D28" s="491" t="s">
        <v>259</v>
      </c>
      <c r="E28" s="490" t="s">
        <v>260</v>
      </c>
      <c r="F28" s="492" t="s">
        <v>261</v>
      </c>
      <c r="G28" s="493" t="s">
        <v>262</v>
      </c>
      <c r="H28" s="492" t="s">
        <v>263</v>
      </c>
      <c r="I28" s="493"/>
      <c r="J28" s="492" t="s">
        <v>247</v>
      </c>
      <c r="K28" s="1151" t="s">
        <v>264</v>
      </c>
      <c r="L28" s="494" t="s">
        <v>265</v>
      </c>
      <c r="M28"/>
      <c r="N28" s="232"/>
    </row>
    <row r="29" spans="1:14" ht="15">
      <c r="A29" s="495"/>
      <c r="B29" s="496" t="s">
        <v>266</v>
      </c>
      <c r="C29" s="496" t="s">
        <v>267</v>
      </c>
      <c r="D29" s="496" t="s">
        <v>268</v>
      </c>
      <c r="E29" s="496" t="s">
        <v>269</v>
      </c>
      <c r="F29" s="496" t="s">
        <v>270</v>
      </c>
      <c r="G29" s="496" t="s">
        <v>271</v>
      </c>
      <c r="H29" s="496" t="s">
        <v>272</v>
      </c>
      <c r="I29" s="496" t="s">
        <v>272</v>
      </c>
      <c r="J29" s="496" t="s">
        <v>273</v>
      </c>
      <c r="K29" s="1151"/>
      <c r="L29" s="497"/>
      <c r="M29"/>
      <c r="N29" s="232"/>
    </row>
    <row r="30" spans="1:14" ht="23.25">
      <c r="A30" s="498"/>
      <c r="B30" s="499" t="s">
        <v>274</v>
      </c>
      <c r="C30" s="499" t="s">
        <v>274</v>
      </c>
      <c r="D30" s="499" t="s">
        <v>274</v>
      </c>
      <c r="E30" s="499" t="s">
        <v>274</v>
      </c>
      <c r="F30" s="500" t="s">
        <v>275</v>
      </c>
      <c r="G30" s="500" t="s">
        <v>275</v>
      </c>
      <c r="H30" s="500" t="s">
        <v>275</v>
      </c>
      <c r="I30" s="500" t="s">
        <v>276</v>
      </c>
      <c r="J30" s="501" t="s">
        <v>277</v>
      </c>
      <c r="K30" s="1151"/>
      <c r="L30" s="497"/>
      <c r="M30"/>
      <c r="N30" s="232"/>
    </row>
    <row r="31" spans="1:21" ht="78.75">
      <c r="A31" s="502"/>
      <c r="B31" s="503" t="s">
        <v>288</v>
      </c>
      <c r="C31" s="503" t="s">
        <v>289</v>
      </c>
      <c r="D31" s="503" t="s">
        <v>290</v>
      </c>
      <c r="E31" s="503" t="s">
        <v>291</v>
      </c>
      <c r="F31" s="503" t="s">
        <v>292</v>
      </c>
      <c r="G31" s="503" t="s">
        <v>293</v>
      </c>
      <c r="H31" s="503" t="s">
        <v>284</v>
      </c>
      <c r="I31" s="503" t="s">
        <v>294</v>
      </c>
      <c r="J31" s="504" t="s">
        <v>295</v>
      </c>
      <c r="K31" s="1151"/>
      <c r="L31" s="428"/>
      <c r="M31" s="944" t="s">
        <v>287</v>
      </c>
      <c r="N31" s="942" t="s">
        <v>11</v>
      </c>
      <c r="Q31" s="1045" t="s">
        <v>339</v>
      </c>
      <c r="R31" s="1045"/>
      <c r="S31" s="1045"/>
      <c r="T31" s="1045"/>
      <c r="U31" s="1045"/>
    </row>
    <row r="32" spans="1:26" ht="15">
      <c r="A32" s="505">
        <v>0</v>
      </c>
      <c r="B32" s="506">
        <f>'Standard Atmosphere US'!E19*1000</f>
        <v>0</v>
      </c>
      <c r="C32" s="508">
        <f>'Standard Atmosphere US'!H45</f>
        <v>101325</v>
      </c>
      <c r="D32" s="508">
        <f>D18</f>
        <v>288.15</v>
      </c>
      <c r="E32" s="508">
        <f>E18</f>
        <v>-0.0019812</v>
      </c>
      <c r="F32" s="539">
        <v>8.31432</v>
      </c>
      <c r="G32" s="511">
        <v>9.80665</v>
      </c>
      <c r="H32" s="512">
        <v>0.0289644</v>
      </c>
      <c r="I32" s="513">
        <f>I18*Conversions!$B$35</f>
        <v>0</v>
      </c>
      <c r="J32" s="540">
        <f>C32*((D32/(D32+(E32*(I32-B32))))^((G$32*H$32)/(F$32*E32)))</f>
        <v>101325</v>
      </c>
      <c r="K32" s="515">
        <f>K18</f>
        <v>1</v>
      </c>
      <c r="L32" s="516" t="str">
        <f aca="true" t="shared" si="3" ref="L32:L38">CONCATENATE(TEXT(B32,"#,###")," to ",TEXT((B33-1),"#,###"))</f>
        <v> to 10,999</v>
      </c>
      <c r="M32" s="943">
        <f ca="1">CELL("row",M32)</f>
        <v>32</v>
      </c>
      <c r="N32" s="515">
        <f aca="true" t="shared" si="4" ref="N32:N38">A32</f>
        <v>0</v>
      </c>
      <c r="S32">
        <f aca="true" ca="1" t="shared" si="5" ref="S32:Z32">CELL("col",S43)</f>
        <v>19</v>
      </c>
      <c r="T32">
        <f ca="1" t="shared" si="5"/>
        <v>20</v>
      </c>
      <c r="U32">
        <f ca="1" t="shared" si="5"/>
        <v>21</v>
      </c>
      <c r="V32">
        <f ca="1" t="shared" si="5"/>
        <v>22</v>
      </c>
      <c r="W32">
        <f ca="1" t="shared" si="5"/>
        <v>23</v>
      </c>
      <c r="X32">
        <f ca="1" t="shared" si="5"/>
        <v>24</v>
      </c>
      <c r="Y32">
        <f ca="1" t="shared" si="5"/>
        <v>25</v>
      </c>
      <c r="Z32">
        <f ca="1" t="shared" si="5"/>
        <v>26</v>
      </c>
    </row>
    <row r="33" spans="1:25" ht="15">
      <c r="A33" s="505">
        <v>1</v>
      </c>
      <c r="B33" s="517">
        <f>'Standard Atmosphere US'!E20*1000</f>
        <v>11000</v>
      </c>
      <c r="C33" s="508">
        <f>'Standard Atmosphere US'!H46</f>
        <v>22632</v>
      </c>
      <c r="D33" s="508">
        <f aca="true" t="shared" si="6" ref="D33:E38">D19</f>
        <v>216.65</v>
      </c>
      <c r="E33" s="508">
        <f t="shared" si="6"/>
        <v>0</v>
      </c>
      <c r="F33" s="518"/>
      <c r="G33" s="518"/>
      <c r="H33" s="519"/>
      <c r="I33" s="513">
        <f>I19*Conversions!$B$35</f>
        <v>13716.003741725823</v>
      </c>
      <c r="J33" s="540">
        <f>C33*EXP((-G$32*H$32*(I33-B33))/(F$32*D33))</f>
        <v>14747.63179337663</v>
      </c>
      <c r="K33" s="521">
        <f aca="true" t="shared" si="7" ref="K33:K38">K19</f>
        <v>2</v>
      </c>
      <c r="L33" s="516" t="str">
        <f t="shared" si="3"/>
        <v>11,000 to 19,999</v>
      </c>
      <c r="M33" s="943">
        <f aca="true" ca="1" t="shared" si="8" ref="M33:M38">CELL("row",M33)</f>
        <v>33</v>
      </c>
      <c r="N33" s="521">
        <f t="shared" si="4"/>
        <v>1</v>
      </c>
      <c r="S33" s="541" t="s">
        <v>11</v>
      </c>
      <c r="T33" s="541"/>
      <c r="U33" s="541"/>
      <c r="V33" s="541"/>
      <c r="W33" s="541"/>
      <c r="X33" s="541"/>
      <c r="Y33" s="541"/>
    </row>
    <row r="34" spans="1:25" ht="15">
      <c r="A34" s="505">
        <v>2</v>
      </c>
      <c r="B34" s="517">
        <f>'Standard Atmosphere US'!E21*1000</f>
        <v>20000</v>
      </c>
      <c r="C34" s="508">
        <f>'Standard Atmosphere US'!H47</f>
        <v>5474</v>
      </c>
      <c r="D34" s="508">
        <f t="shared" si="6"/>
        <v>216.65</v>
      </c>
      <c r="E34" s="508">
        <f t="shared" si="6"/>
        <v>0.0003048</v>
      </c>
      <c r="F34" s="518"/>
      <c r="G34" s="518"/>
      <c r="H34" s="519"/>
      <c r="I34" s="513">
        <f>I20*Conversions!$B$35</f>
        <v>21336.00582046239</v>
      </c>
      <c r="J34" s="540">
        <f>C34*((D34/(D34+(E34*(I34-B34))))^((G$32*H$32)/(F$32*E34)))</f>
        <v>4435.031483859149</v>
      </c>
      <c r="K34" s="522">
        <f t="shared" si="7"/>
        <v>1</v>
      </c>
      <c r="L34" s="523" t="str">
        <f t="shared" si="3"/>
        <v>20,000 to 31,999</v>
      </c>
      <c r="M34" s="943">
        <f ca="1" t="shared" si="8"/>
        <v>34</v>
      </c>
      <c r="N34" s="522">
        <f t="shared" si="4"/>
        <v>2</v>
      </c>
      <c r="Q34" s="542" t="s">
        <v>296</v>
      </c>
      <c r="S34" s="543">
        <v>0</v>
      </c>
      <c r="T34" s="543">
        <f aca="true" t="shared" si="9" ref="T34:Y34">S34+1</f>
        <v>1</v>
      </c>
      <c r="U34" s="543">
        <f t="shared" si="9"/>
        <v>2</v>
      </c>
      <c r="V34" s="543">
        <f t="shared" si="9"/>
        <v>3</v>
      </c>
      <c r="W34" s="543">
        <f t="shared" si="9"/>
        <v>4</v>
      </c>
      <c r="X34" s="543">
        <f t="shared" si="9"/>
        <v>5</v>
      </c>
      <c r="Y34" s="543">
        <f t="shared" si="9"/>
        <v>6</v>
      </c>
    </row>
    <row r="35" spans="1:26" ht="15">
      <c r="A35" s="505">
        <v>3</v>
      </c>
      <c r="B35" s="517">
        <f>'Standard Atmosphere US'!E22*1000</f>
        <v>32000</v>
      </c>
      <c r="C35" s="508">
        <f>'Standard Atmosphere US'!H48</f>
        <v>868</v>
      </c>
      <c r="D35" s="508">
        <f t="shared" si="6"/>
        <v>228.65</v>
      </c>
      <c r="E35" s="508">
        <f t="shared" si="6"/>
        <v>0.00085344</v>
      </c>
      <c r="F35" s="518"/>
      <c r="G35" s="519"/>
      <c r="H35" s="519"/>
      <c r="I35" s="513">
        <f>I21*Conversions!$B$35</f>
        <v>32004.008730693586</v>
      </c>
      <c r="J35" s="540">
        <f>C35*((D35/(D35+(E35*(I35-B35))))^((G$32*H$32)/(F$32*E35)))</f>
        <v>867.4802666631896</v>
      </c>
      <c r="K35" s="522">
        <f t="shared" si="7"/>
        <v>1</v>
      </c>
      <c r="L35" s="525" t="str">
        <f t="shared" si="3"/>
        <v>32,000 to 46,999</v>
      </c>
      <c r="M35" s="943">
        <f ca="1" t="shared" si="8"/>
        <v>35</v>
      </c>
      <c r="N35" s="522">
        <f t="shared" si="4"/>
        <v>3</v>
      </c>
      <c r="Q35">
        <v>2</v>
      </c>
      <c r="R35" s="544" t="s">
        <v>297</v>
      </c>
      <c r="S35" s="545">
        <f ca="1">INDIRECT(CONCATENATE("R",S$39,"C",$Q35),FALSE)</f>
        <v>0</v>
      </c>
      <c r="T35" s="545">
        <f ca="1" t="shared" si="10" ref="T35:Z35">INDIRECT(CONCATENATE("R",T$39,"C",$Q35),FALSE)</f>
        <v>36089.2</v>
      </c>
      <c r="U35" s="545">
        <f ca="1" t="shared" si="10"/>
        <v>65616.8</v>
      </c>
      <c r="V35" s="545">
        <f ca="1" t="shared" si="10"/>
        <v>104986.9</v>
      </c>
      <c r="W35" s="545">
        <f ca="1" t="shared" si="10"/>
        <v>154199.5</v>
      </c>
      <c r="X35" s="545">
        <f ca="1" t="shared" si="10"/>
        <v>167322.8</v>
      </c>
      <c r="Y35" s="545">
        <f ca="1" t="shared" si="10"/>
        <v>232939.6</v>
      </c>
      <c r="Z35" s="545">
        <f ca="1" t="shared" si="10"/>
        <v>278385.8</v>
      </c>
    </row>
    <row r="36" spans="1:25" ht="15">
      <c r="A36" s="505">
        <v>4</v>
      </c>
      <c r="B36" s="517">
        <f>'Standard Atmosphere US'!E23*1000</f>
        <v>47000</v>
      </c>
      <c r="C36" s="508">
        <f>'Standard Atmosphere US'!H49</f>
        <v>110</v>
      </c>
      <c r="D36" s="508">
        <f t="shared" si="6"/>
        <v>270.65</v>
      </c>
      <c r="E36" s="508">
        <f t="shared" si="6"/>
        <v>0</v>
      </c>
      <c r="F36" s="518"/>
      <c r="G36" s="519"/>
      <c r="H36" s="519"/>
      <c r="I36" s="513">
        <f>I22*Conversions!$B$35</f>
        <v>48768.013303914035</v>
      </c>
      <c r="J36" s="540">
        <f>C36*EXP((-G$32*H$32*(I36-B36))/(F$32*D36))</f>
        <v>87.99766529657833</v>
      </c>
      <c r="K36" s="526">
        <f t="shared" si="7"/>
        <v>2</v>
      </c>
      <c r="L36" s="516" t="str">
        <f t="shared" si="3"/>
        <v>47,000 to 50,999</v>
      </c>
      <c r="M36" s="943">
        <f ca="1" t="shared" si="8"/>
        <v>36</v>
      </c>
      <c r="N36" s="526">
        <f t="shared" si="4"/>
        <v>4</v>
      </c>
      <c r="Q36" s="546">
        <v>3</v>
      </c>
      <c r="R36" s="544" t="s">
        <v>298</v>
      </c>
      <c r="S36" s="545">
        <f ca="1">INDIRECT(CONCATENATE("R",S$39,"C",$Q36),FALSE)</f>
        <v>29.92126</v>
      </c>
      <c r="T36" s="545">
        <f ca="1" t="shared" si="11" ref="T36:Y38">INDIRECT(CONCATENATE("R",T$39,"C",$Q36),FALSE)</f>
        <v>6.683245</v>
      </c>
      <c r="U36" s="545">
        <f ca="1" t="shared" si="11"/>
        <v>1.616734</v>
      </c>
      <c r="V36" s="545">
        <f ca="1" t="shared" si="11"/>
        <v>0.2563258</v>
      </c>
      <c r="W36" s="545">
        <f ca="1" t="shared" si="11"/>
        <v>0.0327505</v>
      </c>
      <c r="X36" s="545">
        <f ca="1" t="shared" si="11"/>
        <v>0.01976704</v>
      </c>
      <c r="Y36" s="545">
        <f ca="1" t="shared" si="11"/>
        <v>0.00116833</v>
      </c>
    </row>
    <row r="37" spans="1:25" ht="15">
      <c r="A37" s="527">
        <v>5</v>
      </c>
      <c r="B37" s="517">
        <f>'Standard Atmosphere US'!E24*1000</f>
        <v>51000</v>
      </c>
      <c r="C37" s="508">
        <f>'Standard Atmosphere US'!H50</f>
        <v>66</v>
      </c>
      <c r="D37" s="508">
        <f t="shared" si="6"/>
        <v>270.65</v>
      </c>
      <c r="E37" s="508">
        <f t="shared" si="6"/>
        <v>-0.00085344</v>
      </c>
      <c r="F37" s="518"/>
      <c r="G37" s="519"/>
      <c r="H37" s="519"/>
      <c r="I37" s="513">
        <f>I23*Conversions!$B$35</f>
        <v>53340.014551155975</v>
      </c>
      <c r="J37" s="540">
        <f>C37*((D37/(D37+(E37*(I37-B37))))^((G$32*H$32)/(F$32*E37)))</f>
        <v>49.067054925845085</v>
      </c>
      <c r="K37" s="528">
        <f t="shared" si="7"/>
        <v>1</v>
      </c>
      <c r="L37" s="516" t="str">
        <f t="shared" si="3"/>
        <v>51,000 to 70,999</v>
      </c>
      <c r="M37" s="943">
        <f ca="1" t="shared" si="8"/>
        <v>37</v>
      </c>
      <c r="N37" s="528">
        <f t="shared" si="4"/>
        <v>5</v>
      </c>
      <c r="Q37" s="546">
        <f>Q36+1</f>
        <v>4</v>
      </c>
      <c r="R37" s="544" t="s">
        <v>299</v>
      </c>
      <c r="S37" s="545">
        <f ca="1">INDIRECT(CONCATENATE("R",S$39,"C",$Q37),FALSE)</f>
        <v>288.15</v>
      </c>
      <c r="T37" s="545">
        <f ca="1" t="shared" si="11"/>
        <v>216.65</v>
      </c>
      <c r="U37" s="545">
        <f ca="1" t="shared" si="11"/>
        <v>216.65</v>
      </c>
      <c r="V37" s="545">
        <f ca="1" t="shared" si="11"/>
        <v>228.65</v>
      </c>
      <c r="W37" s="545">
        <f ca="1" t="shared" si="11"/>
        <v>270.65</v>
      </c>
      <c r="X37" s="545">
        <f ca="1" t="shared" si="11"/>
        <v>270.65</v>
      </c>
      <c r="Y37" s="545">
        <f ca="1" t="shared" si="11"/>
        <v>214.65</v>
      </c>
    </row>
    <row r="38" spans="1:25" ht="15">
      <c r="A38" s="529">
        <v>6</v>
      </c>
      <c r="B38" s="506">
        <f>'Standard Atmosphere US'!E25*1000</f>
        <v>71000</v>
      </c>
      <c r="C38" s="508">
        <f>'Standard Atmosphere US'!H51</f>
        <v>4</v>
      </c>
      <c r="D38" s="508">
        <f t="shared" si="6"/>
        <v>214.65</v>
      </c>
      <c r="E38" s="508">
        <f t="shared" si="6"/>
        <v>-0.0006097</v>
      </c>
      <c r="F38" s="530"/>
      <c r="G38" s="531"/>
      <c r="H38" s="531"/>
      <c r="I38" s="517">
        <f>I24*Conversions!$B$35</f>
        <v>76200.02078736568</v>
      </c>
      <c r="J38" s="547">
        <f>C38*((D38/(D38+(E38*(I38-B38))))^((G$32*H$32)/(F$32*E38)))</f>
        <v>1.7375883580963272</v>
      </c>
      <c r="K38" s="533">
        <f t="shared" si="7"/>
        <v>1</v>
      </c>
      <c r="L38" s="516" t="str">
        <f t="shared" si="3"/>
        <v>71,000 to 84,358</v>
      </c>
      <c r="M38" s="943">
        <f ca="1" t="shared" si="8"/>
        <v>38</v>
      </c>
      <c r="N38" s="533">
        <f t="shared" si="4"/>
        <v>6</v>
      </c>
      <c r="Q38" s="546">
        <f>Q37+1</f>
        <v>5</v>
      </c>
      <c r="R38" s="544" t="s">
        <v>300</v>
      </c>
      <c r="S38" s="548">
        <f ca="1">INDIRECT(CONCATENATE("R",S$39,"C",$Q38),FALSE)</f>
        <v>-0.0019812</v>
      </c>
      <c r="T38" s="548">
        <f ca="1" t="shared" si="11"/>
        <v>0</v>
      </c>
      <c r="U38" s="548">
        <f ca="1" t="shared" si="11"/>
        <v>0.0003048</v>
      </c>
      <c r="V38" s="548">
        <f ca="1" t="shared" si="11"/>
        <v>0.00085344</v>
      </c>
      <c r="W38" s="548">
        <f ca="1" t="shared" si="11"/>
        <v>0</v>
      </c>
      <c r="X38" s="548">
        <f ca="1" t="shared" si="11"/>
        <v>-0.00085344</v>
      </c>
      <c r="Y38" s="548">
        <f ca="1" t="shared" si="11"/>
        <v>-0.0006097</v>
      </c>
    </row>
    <row r="39" spans="1:26" ht="15">
      <c r="A39" s="534">
        <v>7</v>
      </c>
      <c r="B39" s="535">
        <f>B25/3.3</f>
        <v>84359.33333333333</v>
      </c>
      <c r="C39" s="536"/>
      <c r="D39" s="536"/>
      <c r="E39" s="536"/>
      <c r="F39" s="536"/>
      <c r="G39" s="536"/>
      <c r="H39" s="536"/>
      <c r="I39" s="536"/>
      <c r="J39" s="536"/>
      <c r="K39" s="536"/>
      <c r="L39" s="536"/>
      <c r="M39" s="537"/>
      <c r="N39" s="538"/>
      <c r="R39" s="542" t="s">
        <v>287</v>
      </c>
      <c r="S39" s="232">
        <v>18</v>
      </c>
      <c r="T39" s="232">
        <f>S39+1</f>
        <v>19</v>
      </c>
      <c r="U39" s="232">
        <f aca="true" t="shared" si="12" ref="U39:Z39">T39+1</f>
        <v>20</v>
      </c>
      <c r="V39" s="232">
        <f t="shared" si="12"/>
        <v>21</v>
      </c>
      <c r="W39" s="232">
        <f t="shared" si="12"/>
        <v>22</v>
      </c>
      <c r="X39" s="232">
        <f t="shared" si="12"/>
        <v>23</v>
      </c>
      <c r="Y39" s="232">
        <f t="shared" si="12"/>
        <v>24</v>
      </c>
      <c r="Z39" s="232">
        <f t="shared" si="12"/>
        <v>25</v>
      </c>
    </row>
    <row r="41" spans="1:25" ht="15">
      <c r="A41" t="s">
        <v>301</v>
      </c>
      <c r="Q41" s="175"/>
      <c r="R41" s="549" t="s">
        <v>340</v>
      </c>
      <c r="S41" s="126" t="str">
        <f aca="true" t="shared" si="13" ref="S41:Y41">IF(S38=0,"F2","F1")</f>
        <v>F1</v>
      </c>
      <c r="T41" s="126" t="str">
        <f t="shared" si="13"/>
        <v>F2</v>
      </c>
      <c r="U41" s="126" t="str">
        <f t="shared" si="13"/>
        <v>F1</v>
      </c>
      <c r="V41" s="126" t="str">
        <f t="shared" si="13"/>
        <v>F1</v>
      </c>
      <c r="W41" s="126" t="str">
        <f t="shared" si="13"/>
        <v>F2</v>
      </c>
      <c r="X41" s="126" t="str">
        <f t="shared" si="13"/>
        <v>F1</v>
      </c>
      <c r="Y41" s="126" t="str">
        <f t="shared" si="13"/>
        <v>F1</v>
      </c>
    </row>
    <row r="42" spans="1:25" ht="14.25" customHeight="1">
      <c r="A42" s="1142" t="s">
        <v>147</v>
      </c>
      <c r="B42" s="1142"/>
      <c r="C42" s="1143" t="s">
        <v>148</v>
      </c>
      <c r="D42" s="1143"/>
      <c r="E42" s="1143" t="s">
        <v>149</v>
      </c>
      <c r="F42" s="1143"/>
      <c r="G42" s="1143"/>
      <c r="H42" s="1143"/>
      <c r="O42" s="65"/>
      <c r="Q42">
        <f ca="1">CELL("row",S42)</f>
        <v>42</v>
      </c>
      <c r="R42" s="550" t="s">
        <v>302</v>
      </c>
      <c r="S42" s="551" t="str">
        <f>CONCATENATE("      * L",S34," ;")</f>
        <v>      * L0 ;</v>
      </c>
      <c r="T42" s="551" t="str">
        <f aca="true" t="shared" si="14" ref="T42:Y42">CONCATENATE("      * L",T34," ;")</f>
        <v>      * L1 ;</v>
      </c>
      <c r="U42" s="551" t="str">
        <f t="shared" si="14"/>
        <v>      * L2 ;</v>
      </c>
      <c r="V42" s="551" t="str">
        <f t="shared" si="14"/>
        <v>      * L3 ;</v>
      </c>
      <c r="W42" s="551" t="str">
        <f t="shared" si="14"/>
        <v>      * L4 ;</v>
      </c>
      <c r="X42" s="551" t="str">
        <f t="shared" si="14"/>
        <v>      * L5 ;</v>
      </c>
      <c r="Y42" s="551" t="str">
        <f t="shared" si="14"/>
        <v>      * L6 ;</v>
      </c>
    </row>
    <row r="43" spans="1:25" ht="14.25" customHeight="1">
      <c r="A43" s="552" t="s">
        <v>151</v>
      </c>
      <c r="B43" s="553" t="s">
        <v>152</v>
      </c>
      <c r="C43" s="552" t="s">
        <v>153</v>
      </c>
      <c r="D43" s="554" t="s">
        <v>154</v>
      </c>
      <c r="E43" s="552" t="s">
        <v>155</v>
      </c>
      <c r="F43" s="555" t="s">
        <v>156</v>
      </c>
      <c r="G43" s="555" t="s">
        <v>157</v>
      </c>
      <c r="H43" s="554" t="s">
        <v>55</v>
      </c>
      <c r="I43" s="556" t="s">
        <v>303</v>
      </c>
      <c r="J43" s="557"/>
      <c r="K43" s="557"/>
      <c r="L43" s="557"/>
      <c r="M43" s="558"/>
      <c r="N43" s="558"/>
      <c r="O43" s="557"/>
      <c r="Q43">
        <f ca="1">CELL("row",S43)</f>
        <v>43</v>
      </c>
      <c r="R43" s="550" t="s">
        <v>304</v>
      </c>
      <c r="S43" t="str">
        <f aca="true" t="shared" si="15" ref="S43:X43">CONCATENATE("    when (",S35," &lt;=  hb  &lt; ",T35,")  do ;")</f>
        <v>    when (0 &lt;=  hb  &lt; 36089.2)  do ;</v>
      </c>
      <c r="T43" t="str">
        <f t="shared" si="15"/>
        <v>    when (36089.2 &lt;=  hb  &lt; 65616.8)  do ;</v>
      </c>
      <c r="U43" t="str">
        <f t="shared" si="15"/>
        <v>    when (65616.8 &lt;=  hb  &lt; 104986.9)  do ;</v>
      </c>
      <c r="V43" t="str">
        <f t="shared" si="15"/>
        <v>    when (104986.9 &lt;=  hb  &lt; 154199.5)  do ;</v>
      </c>
      <c r="W43" t="str">
        <f t="shared" si="15"/>
        <v>    when (154199.5 &lt;=  hb  &lt; 167322.8)  do ;</v>
      </c>
      <c r="X43" t="str">
        <f t="shared" si="15"/>
        <v>    when (167322.8 &lt;=  hb  &lt; 232939.6)  do ;</v>
      </c>
      <c r="Y43" t="str">
        <f>CONCATENATE("    otherwise do ;")</f>
        <v>    otherwise do ;</v>
      </c>
    </row>
    <row r="44" spans="1:25" ht="15">
      <c r="A44" s="559">
        <v>0</v>
      </c>
      <c r="B44" s="268">
        <v>0</v>
      </c>
      <c r="C44" s="269">
        <f>C$18*((D$18/(D$18+(E$18*(A44-B$18))))^((G$18*H$18)/(F$18*E$18)))</f>
        <v>29.92126</v>
      </c>
      <c r="D44" s="270">
        <f>C44*Conversions!$B$53</f>
        <v>760</v>
      </c>
      <c r="E44" s="271">
        <f>C44*Conversions!$B$59</f>
        <v>14.696</v>
      </c>
      <c r="F44" s="272">
        <f>H44*Conversions!$D$67</f>
        <v>1.0333000000000003</v>
      </c>
      <c r="G44" s="560">
        <f>H44/100</f>
        <v>10.1325</v>
      </c>
      <c r="H44" s="274">
        <f>C44*Conversions!$B$50</f>
        <v>1013.2500000000001</v>
      </c>
      <c r="I44" t="s">
        <v>305</v>
      </c>
      <c r="M44"/>
      <c r="O44" s="65"/>
      <c r="Q44">
        <f aca="true" ca="1" t="shared" si="16" ref="Q44:Q49">CELL("row",S44)</f>
        <v>44</v>
      </c>
      <c r="R44" s="561" t="s">
        <v>297</v>
      </c>
      <c r="S44" t="str">
        <f>CONCATENATE("      ",$R44,"=",S35," ;")</f>
        <v>      hb=0 ;</v>
      </c>
      <c r="T44" t="str">
        <f aca="true" t="shared" si="17" ref="T44:Y44">CONCATENATE("      ",$R44,"=",T35," ;")</f>
        <v>      hb=36089.2 ;</v>
      </c>
      <c r="U44" t="str">
        <f t="shared" si="17"/>
        <v>      hb=65616.8 ;</v>
      </c>
      <c r="V44" t="str">
        <f t="shared" si="17"/>
        <v>      hb=104986.9 ;</v>
      </c>
      <c r="W44" t="str">
        <f t="shared" si="17"/>
        <v>      hb=154199.5 ;</v>
      </c>
      <c r="X44" t="str">
        <f t="shared" si="17"/>
        <v>      hb=167322.8 ;</v>
      </c>
      <c r="Y44" t="str">
        <f t="shared" si="17"/>
        <v>      hb=232939.6 ;</v>
      </c>
    </row>
    <row r="45" spans="1:25" ht="15">
      <c r="A45" s="562">
        <v>500</v>
      </c>
      <c r="B45" s="277">
        <v>152.40004157473132</v>
      </c>
      <c r="C45" s="278">
        <f aca="true" t="shared" si="18" ref="C45:C64">C$18*((D$18/(D$18+(E$18*(A45-B$18))))^((G$18*H$18)/(F$18*E$18)))</f>
        <v>29.384564550660073</v>
      </c>
      <c r="D45" s="278">
        <f>C45*Conversions!$B$53</f>
        <v>746.3679356585136</v>
      </c>
      <c r="E45" s="279">
        <f>C45*Conversions!$B$59</f>
        <v>14.43239892425989</v>
      </c>
      <c r="F45" s="280">
        <f>H45*Conversions!$D$67</f>
        <v>1.0147657735736082</v>
      </c>
      <c r="G45" s="281">
        <f aca="true" t="shared" si="19" ref="G45:G82">H45/100</f>
        <v>9.950754089552486</v>
      </c>
      <c r="H45" s="282">
        <f>C45*Conversions!$B$50</f>
        <v>995.0754089552486</v>
      </c>
      <c r="I45" s="563" t="s">
        <v>247</v>
      </c>
      <c r="J45" s="1152" t="s">
        <v>306</v>
      </c>
      <c r="K45" s="1152"/>
      <c r="L45" s="1152"/>
      <c r="M45" s="1152"/>
      <c r="N45" s="1152"/>
      <c r="O45" s="1152"/>
      <c r="Q45">
        <f ca="1" t="shared" si="16"/>
        <v>45</v>
      </c>
      <c r="R45" s="561" t="s">
        <v>298</v>
      </c>
      <c r="S45" t="str">
        <f>CONCATENATE("      ",$R45,"=",S36," ;")</f>
        <v>      pb=29.92126 ;</v>
      </c>
      <c r="T45" t="str">
        <f aca="true" t="shared" si="20" ref="T45:Y45">CONCATENATE("      ",$R45,"=",T36," ;")</f>
        <v>      pb=6.683245 ;</v>
      </c>
      <c r="U45" t="str">
        <f t="shared" si="20"/>
        <v>      pb=1.616734 ;</v>
      </c>
      <c r="V45" t="str">
        <f t="shared" si="20"/>
        <v>      pb=0.2563258 ;</v>
      </c>
      <c r="W45" t="str">
        <f t="shared" si="20"/>
        <v>      pb=0.0327505 ;</v>
      </c>
      <c r="X45" t="str">
        <f t="shared" si="20"/>
        <v>      pb=0.01976704 ;</v>
      </c>
      <c r="Y45" t="str">
        <f t="shared" si="20"/>
        <v>      pb=0.00116833 ;</v>
      </c>
    </row>
    <row r="46" spans="1:25" ht="15.75">
      <c r="A46" s="562">
        <v>1000</v>
      </c>
      <c r="B46" s="277">
        <v>304.80008314946264</v>
      </c>
      <c r="C46" s="278">
        <f t="shared" si="18"/>
        <v>28.855690908981558</v>
      </c>
      <c r="D46" s="278">
        <f>C46*Conversions!$B$53</f>
        <v>732.9345452305814</v>
      </c>
      <c r="E46" s="278">
        <f>C46*Conversions!$B$59</f>
        <v>14.172639574616609</v>
      </c>
      <c r="F46" s="285">
        <f>H46*Conversions!$D$67</f>
        <v>0.9965016652457367</v>
      </c>
      <c r="G46" s="282">
        <f t="shared" si="19"/>
        <v>9.771656946774822</v>
      </c>
      <c r="H46" s="282">
        <f>C46*Conversions!$B$50</f>
        <v>977.1656946774823</v>
      </c>
      <c r="I46" s="564" t="s">
        <v>247</v>
      </c>
      <c r="J46" s="1153" t="s">
        <v>307</v>
      </c>
      <c r="K46" s="1153"/>
      <c r="L46" s="1153"/>
      <c r="M46" s="1153"/>
      <c r="N46" s="1153"/>
      <c r="O46" s="1153"/>
      <c r="Q46">
        <f ca="1" t="shared" si="16"/>
        <v>46</v>
      </c>
      <c r="R46" s="551" t="s">
        <v>299</v>
      </c>
      <c r="S46" t="str">
        <f>CONCATENATE("      ",$R46,"=",S37," ;")</f>
        <v>      tb=288.15 ;</v>
      </c>
      <c r="T46" t="str">
        <f aca="true" t="shared" si="21" ref="T46:Y46">CONCATENATE("      ",$R46,"=",T37," ;")</f>
        <v>      tb=216.65 ;</v>
      </c>
      <c r="U46" t="str">
        <f t="shared" si="21"/>
        <v>      tb=216.65 ;</v>
      </c>
      <c r="V46" t="str">
        <f t="shared" si="21"/>
        <v>      tb=228.65 ;</v>
      </c>
      <c r="W46" t="str">
        <f t="shared" si="21"/>
        <v>      tb=270.65 ;</v>
      </c>
      <c r="X46" t="str">
        <f t="shared" si="21"/>
        <v>      tb=270.65 ;</v>
      </c>
      <c r="Y46" t="str">
        <f t="shared" si="21"/>
        <v>      tb=214.65 ;</v>
      </c>
    </row>
    <row r="47" spans="1:25" ht="15">
      <c r="A47" s="562">
        <v>1500</v>
      </c>
      <c r="B47" s="277">
        <v>457.20012472419404</v>
      </c>
      <c r="C47" s="278">
        <f t="shared" si="18"/>
        <v>28.334551564961977</v>
      </c>
      <c r="D47" s="278">
        <f>C47*Conversions!$B$53</f>
        <v>719.6976059621521</v>
      </c>
      <c r="E47" s="278">
        <f>C47*Conversions!$B$59</f>
        <v>13.916678970026036</v>
      </c>
      <c r="F47" s="285">
        <f>H47*Conversions!$D$67</f>
        <v>0.9785046529482788</v>
      </c>
      <c r="G47" s="282">
        <f t="shared" si="19"/>
        <v>9.59517893738356</v>
      </c>
      <c r="H47" s="287">
        <f>C47*Conversions!$B$50</f>
        <v>959.5178937383561</v>
      </c>
      <c r="I47" s="79"/>
      <c r="M47"/>
      <c r="O47" s="65"/>
      <c r="Q47">
        <f ca="1" t="shared" si="16"/>
        <v>47</v>
      </c>
      <c r="R47" s="550" t="s">
        <v>300</v>
      </c>
      <c r="S47" t="str">
        <f>CONCATENATE("      ",$R47,"= ",S38," ;")</f>
        <v>      lb= -0.0019812 ;</v>
      </c>
      <c r="T47" t="str">
        <f aca="true" t="shared" si="22" ref="T47:Y47">CONCATENATE("      ",$R47,"= ",T38," ;")</f>
        <v>      lb= 0 ;</v>
      </c>
      <c r="U47" t="str">
        <f t="shared" si="22"/>
        <v>      lb= 0.0003048 ;</v>
      </c>
      <c r="V47" t="str">
        <f t="shared" si="22"/>
        <v>      lb= 0.00085344 ;</v>
      </c>
      <c r="W47" t="str">
        <f t="shared" si="22"/>
        <v>      lb= 0 ;</v>
      </c>
      <c r="X47" t="str">
        <f t="shared" si="22"/>
        <v>      lb= -0.00085344 ;</v>
      </c>
      <c r="Y47" t="str">
        <f t="shared" si="22"/>
        <v>      lb= -0.0006097 ;</v>
      </c>
    </row>
    <row r="48" spans="1:25" ht="15">
      <c r="A48" s="562">
        <v>2000</v>
      </c>
      <c r="B48" s="277">
        <v>609.6001662989253</v>
      </c>
      <c r="C48" s="278">
        <f t="shared" si="18"/>
        <v>27.821059689294888</v>
      </c>
      <c r="D48" s="278">
        <f>C48*Conversions!$B$53</f>
        <v>706.6549123888539</v>
      </c>
      <c r="E48" s="278">
        <f>C48*Conversions!$B$59</f>
        <v>13.664474463771835</v>
      </c>
      <c r="F48" s="285">
        <f>H48*Conversions!$D$67</f>
        <v>0.9607717381202668</v>
      </c>
      <c r="G48" s="282">
        <f t="shared" si="19"/>
        <v>9.421290657605343</v>
      </c>
      <c r="H48" s="287">
        <f>C48*Conversions!$B$50</f>
        <v>942.1290657605343</v>
      </c>
      <c r="M48"/>
      <c r="O48" s="65"/>
      <c r="Q48">
        <f ca="1" t="shared" si="16"/>
        <v>48</v>
      </c>
      <c r="R48" s="550"/>
      <c r="S48" t="str">
        <f aca="true" t="shared" si="23" ref="S48:Y48">CONCATENATE("      P ",IF(S41="F1",$I3,$I8)," ;")</f>
        <v>      P = Pb * (  ( Tb / ( Tb + ( Lb * (h-hb) ) ) ) ** ( (g0*M) / (R_star*Lb) )  ) ;</v>
      </c>
      <c r="T48" t="str">
        <f t="shared" si="23"/>
        <v>      P = Pb * exp (   ( - g0 * M * (h-hb) ) / (R_star*Tb ) )  ;</v>
      </c>
      <c r="U48" t="str">
        <f t="shared" si="23"/>
        <v>      P = Pb * (  ( Tb / ( Tb + ( Lb * (h-hb) ) ) ) ** ( (g0*M) / (R_star*Lb) )  ) ;</v>
      </c>
      <c r="V48" t="str">
        <f t="shared" si="23"/>
        <v>      P = Pb * (  ( Tb / ( Tb + ( Lb * (h-hb) ) ) ) ** ( (g0*M) / (R_star*Lb) )  ) ;</v>
      </c>
      <c r="W48" t="str">
        <f t="shared" si="23"/>
        <v>      P = Pb * exp (   ( - g0 * M * (h-hb) ) / (R_star*Tb ) )  ;</v>
      </c>
      <c r="X48" t="str">
        <f t="shared" si="23"/>
        <v>      P = Pb * (  ( Tb / ( Tb + ( Lb * (h-hb) ) ) ) ** ( (g0*M) / (R_star*Lb) )  ) ;</v>
      </c>
      <c r="Y48" t="str">
        <f t="shared" si="23"/>
        <v>      P = Pb * (  ( Tb / ( Tb + ( Lb * (h-hb) ) ) ) ** ( (g0*M) / (R_star*Lb) )  ) ;</v>
      </c>
    </row>
    <row r="49" spans="1:25" ht="15">
      <c r="A49" s="562">
        <v>2500</v>
      </c>
      <c r="B49" s="277">
        <v>762.0002078736568</v>
      </c>
      <c r="C49" s="278">
        <f t="shared" si="18"/>
        <v>27.315129130412103</v>
      </c>
      <c r="D49" s="278">
        <f>C49*Conversions!$B$53</f>
        <v>693.804276260866</v>
      </c>
      <c r="E49" s="278">
        <f>C49*Conversions!$B$59</f>
        <v>13.415983742012745</v>
      </c>
      <c r="F49" s="285">
        <f>H49*Conversions!$D$67</f>
        <v>0.9432999456057276</v>
      </c>
      <c r="G49" s="282">
        <f t="shared" si="19"/>
        <v>9.249962933175295</v>
      </c>
      <c r="H49" s="287">
        <f>C49*Conversions!$B$50</f>
        <v>924.9962933175295</v>
      </c>
      <c r="M49"/>
      <c r="O49" s="65"/>
      <c r="Q49">
        <f ca="1" t="shared" si="16"/>
        <v>49</v>
      </c>
      <c r="S49" t="str">
        <f aca="true" t="shared" si="24" ref="S49:Y49">CONCATENATE("    end ;")</f>
        <v>    end ;</v>
      </c>
      <c r="T49" t="str">
        <f t="shared" si="24"/>
        <v>    end ;</v>
      </c>
      <c r="U49" t="str">
        <f t="shared" si="24"/>
        <v>    end ;</v>
      </c>
      <c r="V49" t="str">
        <f t="shared" si="24"/>
        <v>    end ;</v>
      </c>
      <c r="W49" t="str">
        <f t="shared" si="24"/>
        <v>    end ;</v>
      </c>
      <c r="X49" t="str">
        <f t="shared" si="24"/>
        <v>    end ;</v>
      </c>
      <c r="Y49" t="str">
        <f t="shared" si="24"/>
        <v>    end ;</v>
      </c>
    </row>
    <row r="50" spans="1:15" ht="15">
      <c r="A50" s="562">
        <v>3000</v>
      </c>
      <c r="B50" s="277">
        <v>914.4002494483881</v>
      </c>
      <c r="C50" s="278">
        <f t="shared" si="18"/>
        <v>26.816674411528286</v>
      </c>
      <c r="D50" s="278">
        <f>C50*Conversions!$B$53</f>
        <v>681.1435264678526</v>
      </c>
      <c r="E50" s="278">
        <f>C50*Conversions!$B$59</f>
        <v>13.171164822331</v>
      </c>
      <c r="F50" s="285">
        <f>H50*Conversions!$D$67</f>
        <v>0.9260863235516213</v>
      </c>
      <c r="G50" s="282">
        <f t="shared" si="19"/>
        <v>9.081166818336206</v>
      </c>
      <c r="H50" s="287">
        <f>C50*Conversions!$B$50</f>
        <v>908.1166818336205</v>
      </c>
      <c r="M50"/>
      <c r="O50" s="65"/>
    </row>
    <row r="51" spans="1:19" ht="15">
      <c r="A51" s="562">
        <v>3500</v>
      </c>
      <c r="B51" s="277">
        <v>1066.8002910231194</v>
      </c>
      <c r="C51" s="278">
        <f t="shared" si="18"/>
        <v>26.325610727688417</v>
      </c>
      <c r="D51" s="278">
        <f>C51*Conversions!$B$53</f>
        <v>668.6705089639673</v>
      </c>
      <c r="E51" s="278">
        <f>C51*Conversions!$B$59</f>
        <v>12.92997605228219</v>
      </c>
      <c r="F51" s="285">
        <f>H51*Conversions!$D$67</f>
        <v>0.9091279433058784</v>
      </c>
      <c r="G51" s="282">
        <f t="shared" si="19"/>
        <v>8.914873594838683</v>
      </c>
      <c r="H51" s="287">
        <f>C51*Conversions!$B$50</f>
        <v>891.4873594838683</v>
      </c>
      <c r="M51"/>
      <c r="O51" s="65"/>
      <c r="S51" s="565" t="s">
        <v>308</v>
      </c>
    </row>
    <row r="52" spans="1:25" ht="15">
      <c r="A52" s="562">
        <v>4000</v>
      </c>
      <c r="B52" s="277">
        <v>1219.2003325978505</v>
      </c>
      <c r="C52" s="278">
        <f t="shared" si="18"/>
        <v>25.84185394281768</v>
      </c>
      <c r="D52" s="278">
        <f>C52*Conversions!$B$53</f>
        <v>656.3830866929212</v>
      </c>
      <c r="E52" s="278">
        <f>C52*Conversions!$B$59</f>
        <v>12.692376107946277</v>
      </c>
      <c r="F52" s="285">
        <f>H52*Conversions!$D$67</f>
        <v>0.8924218993155205</v>
      </c>
      <c r="G52" s="282">
        <f t="shared" si="19"/>
        <v>8.751054770942137</v>
      </c>
      <c r="H52" s="287">
        <f>C52*Conversions!$B$50</f>
        <v>875.1054770942137</v>
      </c>
      <c r="M52"/>
      <c r="O52" s="65"/>
      <c r="S52" s="183" t="s">
        <v>309</v>
      </c>
      <c r="T52" t="s">
        <v>309</v>
      </c>
      <c r="U52" t="s">
        <v>309</v>
      </c>
      <c r="V52" t="s">
        <v>309</v>
      </c>
      <c r="W52" t="s">
        <v>309</v>
      </c>
      <c r="X52" t="s">
        <v>309</v>
      </c>
      <c r="Y52" t="s">
        <v>309</v>
      </c>
    </row>
    <row r="53" spans="1:19" ht="15">
      <c r="A53" s="562">
        <v>4500</v>
      </c>
      <c r="B53" s="277">
        <v>1371.6003741725822</v>
      </c>
      <c r="C53" s="278">
        <f t="shared" si="18"/>
        <v>25.365320586774256</v>
      </c>
      <c r="D53" s="278">
        <f>C53*Conversions!$B$53</f>
        <v>644.2791395131234</v>
      </c>
      <c r="E53" s="278">
        <f>C53*Conversions!$B$59</f>
        <v>12.458323992480079</v>
      </c>
      <c r="F53" s="285">
        <f>H53*Conversions!$D$67</f>
        <v>0.8759653090248822</v>
      </c>
      <c r="G53" s="282">
        <f t="shared" si="19"/>
        <v>8.58968208041674</v>
      </c>
      <c r="H53" s="287">
        <f>C53*Conversions!$B$50</f>
        <v>858.968208041674</v>
      </c>
      <c r="M53"/>
      <c r="O53" s="65"/>
      <c r="S53" s="183" t="str">
        <f ca="1" t="shared" si="25" ref="S53:S60">INDIRECT(CONCATENATE("R",Q42,"C",$S$32),FALSE)</f>
        <v>      * L0 ;</v>
      </c>
    </row>
    <row r="54" spans="1:19" ht="15">
      <c r="A54" s="562">
        <v>5000</v>
      </c>
      <c r="B54" s="277">
        <v>1524.0004157473136</v>
      </c>
      <c r="C54" s="278">
        <f t="shared" si="18"/>
        <v>24.895927852404544</v>
      </c>
      <c r="D54" s="278">
        <f>C54*Conversions!$B$53</f>
        <v>632.356564122883</v>
      </c>
      <c r="E54" s="278">
        <f>C54*Conversions!$B$59</f>
        <v>12.227779034670904</v>
      </c>
      <c r="F54" s="285">
        <f>H54*Conversions!$D$67</f>
        <v>0.8597553127739147</v>
      </c>
      <c r="G54" s="282">
        <f t="shared" si="19"/>
        <v>8.430727481546201</v>
      </c>
      <c r="H54" s="287">
        <f>C54*Conversions!$B$50</f>
        <v>843.0727481546201</v>
      </c>
      <c r="M54"/>
      <c r="O54" s="65"/>
      <c r="S54" s="183" t="str">
        <f ca="1" t="shared" si="25"/>
        <v>    when (0 &lt;=  hb  &lt; 36089.2)  do ;</v>
      </c>
    </row>
    <row r="55" spans="1:19" ht="15">
      <c r="A55" s="562">
        <v>6000</v>
      </c>
      <c r="B55" s="277">
        <v>1828.8004988967762</v>
      </c>
      <c r="C55" s="278">
        <f t="shared" si="18"/>
        <v>23.978236317363535</v>
      </c>
      <c r="D55" s="278">
        <f>C55*Conversions!$B$53</f>
        <v>609.0471992555223</v>
      </c>
      <c r="E55" s="278">
        <f>C55*Conversions!$B$59</f>
        <v>11.777049526656782</v>
      </c>
      <c r="F55" s="285">
        <f>H55*Conversions!$D$67</f>
        <v>0.8280637776193833</v>
      </c>
      <c r="G55" s="282">
        <f t="shared" si="19"/>
        <v>8.1199615084955</v>
      </c>
      <c r="H55" s="287">
        <f>C55*Conversions!$B$50</f>
        <v>811.99615084955</v>
      </c>
      <c r="M55"/>
      <c r="O55" s="65"/>
      <c r="S55" s="183" t="str">
        <f ca="1" t="shared" si="25"/>
        <v>      hb=0 ;</v>
      </c>
    </row>
    <row r="56" spans="1:19" ht="15">
      <c r="A56" s="562">
        <v>7000</v>
      </c>
      <c r="B56" s="277">
        <v>2133.6005820462387</v>
      </c>
      <c r="C56" s="278">
        <f t="shared" si="18"/>
        <v>23.088130028500455</v>
      </c>
      <c r="D56" s="278">
        <f>C56*Conversions!$B$53</f>
        <v>586.4384996373932</v>
      </c>
      <c r="E56" s="278">
        <f>C56*Conversions!$B$59</f>
        <v>11.339868671935697</v>
      </c>
      <c r="F56" s="285">
        <f>H56*Conversions!$D$67</f>
        <v>0.797324870625419</v>
      </c>
      <c r="G56" s="282">
        <f t="shared" si="19"/>
        <v>7.818536970494587</v>
      </c>
      <c r="H56" s="287">
        <f>C56*Conversions!$B$50</f>
        <v>781.8536970494587</v>
      </c>
      <c r="M56"/>
      <c r="O56" s="65"/>
      <c r="S56" s="183" t="str">
        <f ca="1" t="shared" si="25"/>
        <v>      pb=29.92126 ;</v>
      </c>
    </row>
    <row r="57" spans="1:19" ht="15">
      <c r="A57" s="562">
        <v>8000</v>
      </c>
      <c r="B57" s="277">
        <v>2438.400665195701</v>
      </c>
      <c r="C57" s="278">
        <f t="shared" si="18"/>
        <v>22.224970096421423</v>
      </c>
      <c r="D57" s="278">
        <f>C57*Conversions!$B$53</f>
        <v>564.5142374779766</v>
      </c>
      <c r="E57" s="278">
        <f>C57*Conversions!$B$59</f>
        <v>10.915922676284662</v>
      </c>
      <c r="F57" s="285">
        <f>H57*Conversions!$D$67</f>
        <v>0.7675165284026229</v>
      </c>
      <c r="G57" s="282">
        <f t="shared" si="19"/>
        <v>7.52623751479684</v>
      </c>
      <c r="H57" s="287">
        <f>C57*Conversions!$B$50</f>
        <v>752.623751479684</v>
      </c>
      <c r="M57"/>
      <c r="O57" s="65"/>
      <c r="S57" s="183" t="str">
        <f ca="1" t="shared" si="25"/>
        <v>      tb=288.15 ;</v>
      </c>
    </row>
    <row r="58" spans="1:19" ht="15">
      <c r="A58" s="562">
        <v>9000</v>
      </c>
      <c r="B58" s="277">
        <v>2743.2007483451644</v>
      </c>
      <c r="C58" s="278">
        <f t="shared" si="18"/>
        <v>21.388127957774287</v>
      </c>
      <c r="D58" s="278">
        <f>C58*Conversions!$B$53</f>
        <v>543.258447268212</v>
      </c>
      <c r="E58" s="278">
        <f>C58*Conversions!$B$59</f>
        <v>10.504902817175845</v>
      </c>
      <c r="F58" s="285">
        <f>H58*Conversions!$D$67</f>
        <v>0.7386170441608467</v>
      </c>
      <c r="G58" s="282">
        <f t="shared" si="19"/>
        <v>7.242850285454154</v>
      </c>
      <c r="H58" s="287">
        <f>C58*Conversions!$B$50</f>
        <v>724.2850285454155</v>
      </c>
      <c r="M58"/>
      <c r="O58" s="65"/>
      <c r="S58" s="183" t="str">
        <f ca="1" t="shared" si="25"/>
        <v>      lb= -0.0019812 ;</v>
      </c>
    </row>
    <row r="59" spans="1:19" ht="15">
      <c r="A59" s="562">
        <v>10000</v>
      </c>
      <c r="B59" s="277">
        <v>3048.000831494627</v>
      </c>
      <c r="C59" s="278">
        <f t="shared" si="18"/>
        <v>20.576985281663344</v>
      </c>
      <c r="D59" s="278">
        <f>C59*Conversions!$B$53</f>
        <v>522.655423403431</v>
      </c>
      <c r="E59" s="278">
        <f>C59*Conversions!$B$59</f>
        <v>10.106505397811606</v>
      </c>
      <c r="F59" s="285">
        <f>H59*Conversions!$D$67</f>
        <v>0.7106050644773229</v>
      </c>
      <c r="G59" s="282">
        <f t="shared" si="19"/>
        <v>6.968165891625348</v>
      </c>
      <c r="H59" s="287">
        <f>C59*Conversions!$B$50</f>
        <v>696.8165891625348</v>
      </c>
      <c r="M59"/>
      <c r="O59" s="65"/>
      <c r="S59" s="183" t="str">
        <f ca="1" t="shared" si="25"/>
        <v>      P = Pb * (  ( Tb / ( Tb + ( Lb * (h-hb) ) ) ) ** ( (g0*M) / (R_star*Lb) )  ) ;</v>
      </c>
    </row>
    <row r="60" spans="1:19" ht="15">
      <c r="A60" s="562">
        <v>15000</v>
      </c>
      <c r="B60" s="277">
        <v>4572.00124724194</v>
      </c>
      <c r="C60" s="278">
        <f t="shared" si="18"/>
        <v>16.885826774651502</v>
      </c>
      <c r="D60" s="278">
        <f>C60*Conversions!$B$53</f>
        <v>428.89999781877975</v>
      </c>
      <c r="E60" s="282">
        <f>C60*Conversions!$B$59</f>
        <v>8.293571536769456</v>
      </c>
      <c r="F60" s="285">
        <f>H60*Conversions!$D$67</f>
        <v>0.5831346944028227</v>
      </c>
      <c r="G60" s="282">
        <f t="shared" si="19"/>
        <v>5.718196352498403</v>
      </c>
      <c r="H60" s="287">
        <f>C60*Conversions!$B$50</f>
        <v>571.8196352498403</v>
      </c>
      <c r="M60"/>
      <c r="O60" s="65"/>
      <c r="S60" s="183" t="str">
        <f ca="1" t="shared" si="25"/>
        <v>    end ;</v>
      </c>
    </row>
    <row r="61" spans="1:19" ht="15">
      <c r="A61" s="562">
        <v>20000</v>
      </c>
      <c r="B61" s="277">
        <v>6096.001662989254</v>
      </c>
      <c r="C61" s="278">
        <f t="shared" si="18"/>
        <v>13.750125888664355</v>
      </c>
      <c r="D61" s="278">
        <f>C61*Conversions!$B$53</f>
        <v>349.25319573389993</v>
      </c>
      <c r="E61" s="282">
        <f>C61*Conversions!$B$59</f>
        <v>6.753453900664991</v>
      </c>
      <c r="F61" s="285">
        <f>H61*Conversions!$D$67</f>
        <v>0.4748464830945248</v>
      </c>
      <c r="G61" s="282">
        <f t="shared" si="19"/>
        <v>4.6563263233865015</v>
      </c>
      <c r="H61" s="287">
        <f>C61*Conversions!$B$50</f>
        <v>465.6326323386501</v>
      </c>
      <c r="M61"/>
      <c r="O61" s="65"/>
      <c r="S61" s="183"/>
    </row>
    <row r="62" spans="1:19" ht="15">
      <c r="A62" s="562">
        <v>25000</v>
      </c>
      <c r="B62" s="277">
        <v>7620.002078736567</v>
      </c>
      <c r="C62" s="278">
        <f t="shared" si="18"/>
        <v>11.103545562450465</v>
      </c>
      <c r="D62" s="278">
        <f>C62*Conversions!$B$53</f>
        <v>282.0300558018731</v>
      </c>
      <c r="E62" s="282">
        <f>C62*Conversions!$B$59</f>
        <v>5.453570657979378</v>
      </c>
      <c r="F62" s="285">
        <f>H62*Conversions!$D$67</f>
        <v>0.38344954823694155</v>
      </c>
      <c r="G62" s="282">
        <f t="shared" si="19"/>
        <v>3.760091500542736</v>
      </c>
      <c r="H62" s="287">
        <f>C62*Conversions!$B$50</f>
        <v>376.0091500542736</v>
      </c>
      <c r="M62"/>
      <c r="O62" s="65"/>
      <c r="S62" s="183" t="str">
        <f ca="1" t="shared" si="26" ref="S62:S69">INDIRECT(CONCATENATE("R",Q42,"C",$T$32),FALSE)</f>
        <v>      * L1 ;</v>
      </c>
    </row>
    <row r="63" spans="1:19" ht="15">
      <c r="A63" s="562">
        <v>30000</v>
      </c>
      <c r="B63" s="277">
        <v>9144.00249448388</v>
      </c>
      <c r="C63" s="296">
        <f t="shared" si="18"/>
        <v>8.885451256265807</v>
      </c>
      <c r="D63" s="296">
        <f>C63*Conversions!$B$53</f>
        <v>225.69046072130698</v>
      </c>
      <c r="E63" s="287">
        <f>C63*Conversions!$B$59</f>
        <v>4.364140803632009</v>
      </c>
      <c r="F63" s="297">
        <f>H63*Conversions!$D$67</f>
        <v>0.3068499382412191</v>
      </c>
      <c r="G63" s="287">
        <f t="shared" si="19"/>
        <v>3.0089586753403195</v>
      </c>
      <c r="H63" s="287">
        <f>C63*Conversions!$B$50</f>
        <v>300.89586753403194</v>
      </c>
      <c r="M63"/>
      <c r="O63" s="65"/>
      <c r="S63" s="183" t="str">
        <f ca="1" t="shared" si="26"/>
        <v>    when (36089.2 &lt;=  hb  &lt; 65616.8)  do ;</v>
      </c>
    </row>
    <row r="64" spans="1:19" ht="15">
      <c r="A64" s="566">
        <v>35000</v>
      </c>
      <c r="B64" s="567">
        <v>10668.002910231195</v>
      </c>
      <c r="C64" s="568">
        <f t="shared" si="18"/>
        <v>7.040627004550249</v>
      </c>
      <c r="D64" s="568">
        <f>C64*Conversions!$B$53</f>
        <v>178.83192497435567</v>
      </c>
      <c r="E64" s="569">
        <f>C64*Conversions!$B$59</f>
        <v>3.4580446966093827</v>
      </c>
      <c r="F64" s="570">
        <f>H64*Conversions!$D$67</f>
        <v>0.2431408264157918</v>
      </c>
      <c r="G64" s="569">
        <f t="shared" si="19"/>
        <v>2.3842295786877092</v>
      </c>
      <c r="H64" s="569">
        <f>C64*Conversions!$B$50</f>
        <v>238.4229578687709</v>
      </c>
      <c r="I64" s="571"/>
      <c r="J64" s="571"/>
      <c r="K64" s="571"/>
      <c r="L64" s="571"/>
      <c r="M64" s="571"/>
      <c r="N64" s="571"/>
      <c r="O64" s="571"/>
      <c r="S64" s="183" t="str">
        <f ca="1" t="shared" si="26"/>
        <v>      hb=36089.2 ;</v>
      </c>
    </row>
    <row r="65" spans="1:19" ht="15">
      <c r="A65" s="572">
        <v>40000</v>
      </c>
      <c r="B65" s="343">
        <v>12192.003325978509</v>
      </c>
      <c r="C65" s="573">
        <f>C$19*EXP((-G$18*H$18*(A65-B$19))/(F$18*D$19))</f>
        <v>5.538020822497164</v>
      </c>
      <c r="D65" s="573">
        <f>C65*Conversions!$B$53</f>
        <v>140.66572815108205</v>
      </c>
      <c r="E65" s="574">
        <f>C65*Conversions!$B$59</f>
        <v>2.720030974879344</v>
      </c>
      <c r="F65" s="575">
        <f>H65*Conversions!$D$67</f>
        <v>0.19124986434014882</v>
      </c>
      <c r="G65" s="574">
        <f t="shared" si="19"/>
        <v>1.8753888032774193</v>
      </c>
      <c r="H65" s="576">
        <f>C65*Conversions!$B$50</f>
        <v>187.53888032774194</v>
      </c>
      <c r="I65" s="577" t="s">
        <v>310</v>
      </c>
      <c r="J65" s="65"/>
      <c r="M65"/>
      <c r="O65" s="65"/>
      <c r="S65" s="183" t="str">
        <f ca="1" t="shared" si="26"/>
        <v>      pb=6.683245 ;</v>
      </c>
    </row>
    <row r="66" spans="1:19" ht="14.25" customHeight="1">
      <c r="A66" s="562">
        <v>45000</v>
      </c>
      <c r="B66" s="277">
        <v>13716.00374172582</v>
      </c>
      <c r="C66" s="278">
        <f>C$19*EXP((-G$18*H$18*(A66-B$19))/(F$18*D$19))</f>
        <v>4.354980065802683</v>
      </c>
      <c r="D66" s="278">
        <f>C66*Conversions!$B$53</f>
        <v>110.61649308919608</v>
      </c>
      <c r="E66" s="282">
        <f>C66*Conversions!$B$59</f>
        <v>2.1389736611037176</v>
      </c>
      <c r="F66" s="285">
        <f>H66*Conversions!$D$67</f>
        <v>0.1503947661961399</v>
      </c>
      <c r="G66" s="282">
        <f t="shared" si="19"/>
        <v>1.4747652845082622</v>
      </c>
      <c r="H66" s="287">
        <f>C66*Conversions!$B$50</f>
        <v>147.4765284508262</v>
      </c>
      <c r="I66" s="563" t="s">
        <v>247</v>
      </c>
      <c r="J66" s="1152" t="s">
        <v>311</v>
      </c>
      <c r="K66" s="1152"/>
      <c r="L66" s="1152"/>
      <c r="M66" s="1152"/>
      <c r="N66" s="1152"/>
      <c r="O66" s="1152"/>
      <c r="S66" s="183" t="str">
        <f ca="1" t="shared" si="26"/>
        <v>      tb=216.65 ;</v>
      </c>
    </row>
    <row r="67" spans="1:19" ht="15.75" customHeight="1">
      <c r="A67" s="562">
        <v>50000</v>
      </c>
      <c r="B67" s="277">
        <v>15240.004157473133</v>
      </c>
      <c r="C67" s="278">
        <f>C$19*EXP((-G$18*H$18*(A67-B$19))/(F$18*D$19))</f>
        <v>3.424662344441457</v>
      </c>
      <c r="D67" s="278">
        <f>C67*Conversions!$B$53</f>
        <v>86.98642309098973</v>
      </c>
      <c r="E67" s="282">
        <f>C67*Conversions!$B$59</f>
        <v>1.6820427286120854</v>
      </c>
      <c r="F67" s="285">
        <f>H67*Conversions!$D$67</f>
        <v>0.11826719865778908</v>
      </c>
      <c r="G67" s="282">
        <f t="shared" si="19"/>
        <v>1.1597235946966493</v>
      </c>
      <c r="H67" s="287">
        <f>C67*Conversions!$B$50</f>
        <v>115.97235946966492</v>
      </c>
      <c r="I67" s="564" t="s">
        <v>247</v>
      </c>
      <c r="J67" s="1154" t="s">
        <v>371</v>
      </c>
      <c r="K67" s="1153"/>
      <c r="L67" s="1153"/>
      <c r="M67" s="1153"/>
      <c r="N67" s="1153"/>
      <c r="O67" s="1153"/>
      <c r="S67" s="183" t="str">
        <f ca="1" t="shared" si="26"/>
        <v>      lb= 0 ;</v>
      </c>
    </row>
    <row r="68" spans="1:19" ht="15">
      <c r="A68" s="562">
        <v>55000</v>
      </c>
      <c r="B68" s="277">
        <v>16764.004573220445</v>
      </c>
      <c r="C68" s="296">
        <f>C$19*EXP((-G$18*H$18*(A68-B$19))/(F$18*D$19))</f>
        <v>2.693080564370749</v>
      </c>
      <c r="D68" s="296">
        <f>C68*Conversions!$B$53</f>
        <v>68.40424597499468</v>
      </c>
      <c r="E68" s="287">
        <f>C68*Conversions!$B$59</f>
        <v>1.322722103748055</v>
      </c>
      <c r="F68" s="297">
        <f>H68*Conversions!$D$67</f>
        <v>0.09300277284995002</v>
      </c>
      <c r="G68" s="287">
        <f t="shared" si="19"/>
        <v>0.9119816083442548</v>
      </c>
      <c r="H68" s="287">
        <f>C68*Conversions!$B$50</f>
        <v>91.19816083442548</v>
      </c>
      <c r="M68"/>
      <c r="O68" s="65"/>
      <c r="S68" s="183" t="str">
        <f ca="1" t="shared" si="26"/>
        <v>      P = Pb * exp (   ( - g0 * M * (h-hb) ) / (R_star*Tb ) )  ;</v>
      </c>
    </row>
    <row r="69" spans="1:19" ht="15">
      <c r="A69" s="566">
        <v>60000</v>
      </c>
      <c r="B69" s="567">
        <v>18288.00498896776</v>
      </c>
      <c r="C69" s="568">
        <f>C$19*EXP((-G$18*H$18*(A69-B$19))/(F$18*D$19))</f>
        <v>2.1177804398624134</v>
      </c>
      <c r="D69" s="568">
        <f>C69*Conversions!$B$53</f>
        <v>53.7916228893915</v>
      </c>
      <c r="E69" s="569">
        <f>C69*Conversions!$B$59</f>
        <v>1.040160118398023</v>
      </c>
      <c r="F69" s="570">
        <f>H69*Conversions!$D$67</f>
        <v>0.07313537359422138</v>
      </c>
      <c r="G69" s="569">
        <f t="shared" si="19"/>
        <v>0.7171626564825782</v>
      </c>
      <c r="H69" s="569">
        <f>C69*Conversions!$B$50</f>
        <v>71.71626564825782</v>
      </c>
      <c r="I69" s="578"/>
      <c r="J69" s="571"/>
      <c r="K69" s="571"/>
      <c r="L69" s="571"/>
      <c r="M69" s="571"/>
      <c r="N69" s="571"/>
      <c r="O69" s="571"/>
      <c r="S69" s="183" t="str">
        <f ca="1" t="shared" si="26"/>
        <v>    end ;</v>
      </c>
    </row>
    <row r="70" spans="1:19" ht="15">
      <c r="A70" s="572">
        <v>70000</v>
      </c>
      <c r="B70" s="343">
        <v>21336.00582046239</v>
      </c>
      <c r="C70" s="573">
        <f>C$20*((D$20/(D$20+(E$20*(A70-B$20))))^((G$18*H$18)/(F$18*E$20)))</f>
        <v>1.3104667158405345</v>
      </c>
      <c r="D70" s="573">
        <f>C70*Conversions!$B$53</f>
        <v>33.28585440716087</v>
      </c>
      <c r="E70" s="575">
        <f>C70*Conversions!$B$59</f>
        <v>0.6436433110100476</v>
      </c>
      <c r="F70" s="575">
        <f>H70*Conversions!$D$67</f>
        <v>0.04525562284068334</v>
      </c>
      <c r="G70" s="575">
        <f t="shared" si="19"/>
        <v>0.44377489444810203</v>
      </c>
      <c r="H70" s="576">
        <f>C70*Conversions!$B$50</f>
        <v>44.3774894448102</v>
      </c>
      <c r="I70" s="577" t="s">
        <v>312</v>
      </c>
      <c r="M70"/>
      <c r="O70" s="65"/>
      <c r="S70" s="183"/>
    </row>
    <row r="71" spans="1:19" ht="15">
      <c r="A71" s="562">
        <v>80000</v>
      </c>
      <c r="B71" s="277">
        <v>24384.006651957017</v>
      </c>
      <c r="C71" s="278">
        <f>C$20*((D$20/(D$20+(E$20*(A71-B$20))))^((G$18*H$18)/(F$18*E$20)))</f>
        <v>0.8154653167558845</v>
      </c>
      <c r="D71" s="278">
        <f>C71*Conversions!$B$53</f>
        <v>20.712818936584632</v>
      </c>
      <c r="E71" s="285">
        <f>C71*Conversions!$B$59</f>
        <v>0.40052050933164174</v>
      </c>
      <c r="F71" s="285">
        <f>H71*Conversions!$D$67</f>
        <v>0.02816125764101698</v>
      </c>
      <c r="G71" s="285">
        <f t="shared" si="19"/>
        <v>0.2761482077301892</v>
      </c>
      <c r="H71" s="287">
        <f>C71*Conversions!$B$50</f>
        <v>27.61482077301892</v>
      </c>
      <c r="M71"/>
      <c r="O71" s="65"/>
      <c r="S71" s="183" t="str">
        <f ca="1" t="shared" si="27" ref="S71:S78">INDIRECT(CONCATENATE("R",Q42,"C",$U$32),FALSE)</f>
        <v>      * L2 ;</v>
      </c>
    </row>
    <row r="72" spans="1:19" ht="15">
      <c r="A72" s="562">
        <v>90000</v>
      </c>
      <c r="B72" s="277">
        <v>27432.00748345164</v>
      </c>
      <c r="C72" s="296">
        <f>C$20*((D$20/(D$20+(E$20*(A72-B$20))))^((G$18*H$18)/(F$18*E$20)))</f>
        <v>0.5107479082202993</v>
      </c>
      <c r="D72" s="296">
        <f>C72*Conversions!$B$53</f>
        <v>12.972996800516672</v>
      </c>
      <c r="E72" s="297">
        <f>C72*Conversions!$B$59</f>
        <v>0.250856790763675</v>
      </c>
      <c r="F72" s="297">
        <f>H72*Conversions!$D$67</f>
        <v>0.017638154728913</v>
      </c>
      <c r="G72" s="297">
        <f t="shared" si="19"/>
        <v>0.17295906589636206</v>
      </c>
      <c r="H72" s="287">
        <f>C72*Conversions!$B$50</f>
        <v>17.295906589636207</v>
      </c>
      <c r="M72"/>
      <c r="O72" s="65"/>
      <c r="S72" s="183" t="str">
        <f ca="1" t="shared" si="27"/>
        <v>    when (65616.8 &lt;=  hb  &lt; 104986.9)  do ;</v>
      </c>
    </row>
    <row r="73" spans="1:19" ht="15">
      <c r="A73" s="566">
        <v>100000</v>
      </c>
      <c r="B73" s="567">
        <v>30480.008314946266</v>
      </c>
      <c r="C73" s="568">
        <f>C$20*((D$20/(D$20+(E$20*(A73-B$20))))^((G$18*H$18)/(F$18*E$20)))</f>
        <v>0.3219237786997021</v>
      </c>
      <c r="D73" s="568">
        <f>C73*Conversions!$B$53</f>
        <v>8.176863935936309</v>
      </c>
      <c r="E73" s="570">
        <f>C73*Conversions!$B$59</f>
        <v>0.15811472684542102</v>
      </c>
      <c r="F73" s="570">
        <f>H73*Conversions!$D$67</f>
        <v>0.011117307243424985</v>
      </c>
      <c r="G73" s="570">
        <f t="shared" si="19"/>
        <v>0.1090158866195719</v>
      </c>
      <c r="H73" s="569">
        <f>C73*Conversions!$B$50</f>
        <v>10.90158866195719</v>
      </c>
      <c r="I73" s="578"/>
      <c r="J73" s="571"/>
      <c r="K73" s="571"/>
      <c r="L73" s="571"/>
      <c r="M73" s="571"/>
      <c r="N73" s="571"/>
      <c r="O73" s="571"/>
      <c r="S73" s="183" t="str">
        <f ca="1" t="shared" si="27"/>
        <v>      hb=65616.8 ;</v>
      </c>
    </row>
    <row r="74" spans="1:19" ht="15">
      <c r="A74" s="572">
        <f>A73+20000</f>
        <v>120000</v>
      </c>
      <c r="B74" s="343">
        <f>(B73/A73)*A74</f>
        <v>36576.00997793552</v>
      </c>
      <c r="C74" s="573">
        <f>C$21*((D$21/(D$21+(E$21*(A74-B$21))))^((G$18*H$18)/(F$18*E$21)))</f>
        <v>0.13178974096559798</v>
      </c>
      <c r="D74" s="579">
        <f>C74*Conversions!$B$53</f>
        <v>3.3474594029079814</v>
      </c>
      <c r="E74" s="580">
        <f>C74*Conversions!$B$59</f>
        <v>0.06472929392781013</v>
      </c>
      <c r="F74" s="580">
        <f>H74*Conversions!$D$67</f>
        <v>0.004551223422401076</v>
      </c>
      <c r="G74" s="580">
        <f t="shared" si="19"/>
        <v>0.044629121578901476</v>
      </c>
      <c r="H74" s="580">
        <f>C74*Conversions!$B$50</f>
        <v>4.462912157890147</v>
      </c>
      <c r="I74" t="s">
        <v>313</v>
      </c>
      <c r="M74"/>
      <c r="O74" s="65"/>
      <c r="S74" s="183" t="str">
        <f ca="1" t="shared" si="27"/>
        <v>      pb=1.616734 ;</v>
      </c>
    </row>
    <row r="75" spans="1:19" ht="15">
      <c r="A75" s="566">
        <f aca="true" t="shared" si="28" ref="A75:A82">A74+20000</f>
        <v>140000</v>
      </c>
      <c r="B75" s="567">
        <f aca="true" t="shared" si="29" ref="B75:B82">(B74/A74)*A75</f>
        <v>42672.01164092477</v>
      </c>
      <c r="C75" s="278">
        <f>C$21*((D$21/(D$21+(E$21*(A75-B$21))))^((G$18*H$18)/(F$18*E$21)))</f>
        <v>0.057273564963793794</v>
      </c>
      <c r="D75" s="568">
        <f>C75*Conversions!$B$53</f>
        <v>1.4547485424237911</v>
      </c>
      <c r="E75" s="570">
        <f>C75*Conversions!$B$59</f>
        <v>0.02813024286771057</v>
      </c>
      <c r="F75" s="570">
        <f>H75*Conversions!$D$67</f>
        <v>0.001977883774850663</v>
      </c>
      <c r="G75" s="570">
        <f t="shared" si="19"/>
        <v>0.019395052113301402</v>
      </c>
      <c r="H75" s="570">
        <f>C75*Conversions!$B$50</f>
        <v>1.93950521133014</v>
      </c>
      <c r="I75" s="578"/>
      <c r="J75" s="571"/>
      <c r="K75" s="571"/>
      <c r="L75" s="571"/>
      <c r="M75" s="571"/>
      <c r="N75" s="571"/>
      <c r="O75" s="571"/>
      <c r="S75" s="183" t="str">
        <f ca="1" t="shared" si="27"/>
        <v>      tb=216.65 ;</v>
      </c>
    </row>
    <row r="76" spans="1:19" ht="15">
      <c r="A76" s="581">
        <f t="shared" si="28"/>
        <v>160000</v>
      </c>
      <c r="B76" s="582">
        <f t="shared" si="29"/>
        <v>48768.01330391403</v>
      </c>
      <c r="C76" s="583">
        <f>C$22*EXP((-G$18*H$18*(A76-B$22))/(F$18*D$22))</f>
        <v>0.026199773776000086</v>
      </c>
      <c r="D76" s="584">
        <f>C76*Conversions!$B$53</f>
        <v>0.6654742504079062</v>
      </c>
      <c r="E76" s="585">
        <f>C76*Conversions!$B$59</f>
        <v>0.012868170505256037</v>
      </c>
      <c r="F76" s="585">
        <f>H76*Conversions!$D$67</f>
        <v>0.0009047822933506441</v>
      </c>
      <c r="G76" s="585">
        <f t="shared" si="19"/>
        <v>0.00887226031876067</v>
      </c>
      <c r="H76" s="585">
        <f>C76*Conversions!$B$50</f>
        <v>0.887226031876067</v>
      </c>
      <c r="I76" s="586" t="s">
        <v>314</v>
      </c>
      <c r="J76" s="587"/>
      <c r="K76" s="587"/>
      <c r="L76" s="587"/>
      <c r="M76" s="571"/>
      <c r="N76" s="571"/>
      <c r="O76" s="571"/>
      <c r="S76" s="183" t="str">
        <f ca="1" t="shared" si="27"/>
        <v>      lb= 0.0003048 ;</v>
      </c>
    </row>
    <row r="77" spans="1:19" ht="15">
      <c r="A77" s="572">
        <f t="shared" si="28"/>
        <v>180000</v>
      </c>
      <c r="B77" s="343">
        <f t="shared" si="29"/>
        <v>54864.014966903276</v>
      </c>
      <c r="C77" s="574">
        <f>C$23*((D$23/(D$23+(E$23*(A77-B$23))))^((G$18*H$18)/(F$18*E$23)))</f>
        <v>0.012016238026158466</v>
      </c>
      <c r="D77" s="574">
        <f>C77*Conversions!$B$53</f>
        <v>0.3052124442580438</v>
      </c>
      <c r="E77" s="575">
        <f>C77*Conversions!$B$59</f>
        <v>0.005901844843179225</v>
      </c>
      <c r="F77" s="588">
        <f>H77*Conversions!$D$67</f>
        <v>0.00041496844559452194</v>
      </c>
      <c r="G77" s="575">
        <f t="shared" si="19"/>
        <v>0.00406916459400609</v>
      </c>
      <c r="H77" s="580">
        <f>C77*Conversions!$B$50</f>
        <v>0.406916459400609</v>
      </c>
      <c r="I77" s="577" t="s">
        <v>315</v>
      </c>
      <c r="M77"/>
      <c r="O77" s="65"/>
      <c r="S77" s="183" t="str">
        <f ca="1" t="shared" si="27"/>
        <v>      P = Pb * (  ( Tb / ( Tb + ( Lb * (h-hb) ) ) ) ** ( (g0*M) / (R_star*Lb) )  ) ;</v>
      </c>
    </row>
    <row r="78" spans="1:19" ht="15">
      <c r="A78" s="562">
        <f t="shared" si="28"/>
        <v>200000</v>
      </c>
      <c r="B78" s="277">
        <f t="shared" si="29"/>
        <v>60960.01662989253</v>
      </c>
      <c r="C78" s="282">
        <f>C$23*((D$23/(D$23+(E$23*(A78-B$23))))^((G$18*H$18)/(F$18*E$23)))</f>
        <v>0.005244616368194416</v>
      </c>
      <c r="D78" s="282">
        <f>C78*Conversions!$B$53</f>
        <v>0.13321325505101578</v>
      </c>
      <c r="E78" s="285">
        <f>C78*Conversions!$B$59</f>
        <v>0.0025759236792496417</v>
      </c>
      <c r="F78" s="589">
        <f>H78*Conversions!$D$67</f>
        <v>0.0001811174426897561</v>
      </c>
      <c r="G78" s="285">
        <f t="shared" si="19"/>
        <v>0.0017760306668479177</v>
      </c>
      <c r="H78" s="297">
        <f>C78*Conversions!$B$50</f>
        <v>0.17760306668479175</v>
      </c>
      <c r="M78"/>
      <c r="S78" s="183" t="str">
        <f ca="1" t="shared" si="27"/>
        <v>    end ;</v>
      </c>
    </row>
    <row r="79" spans="1:19" ht="15">
      <c r="A79" s="566">
        <f t="shared" si="28"/>
        <v>220000</v>
      </c>
      <c r="B79" s="567">
        <f t="shared" si="29"/>
        <v>67056.01829288178</v>
      </c>
      <c r="C79" s="569">
        <f>C$23*((D$23/(D$23+(E$23*(A79-B$23))))^((G$18*H$18)/(F$18*E$23)))</f>
        <v>0.00215475699172793</v>
      </c>
      <c r="D79" s="569">
        <f>C79*Conversions!$B$53</f>
        <v>0.054730827301832444</v>
      </c>
      <c r="E79" s="570">
        <f>C79*Conversions!$B$59</f>
        <v>0.0010583213658259599</v>
      </c>
      <c r="F79" s="590">
        <f>H79*Conversions!$D$67</f>
        <v>7.44123208565572E-05</v>
      </c>
      <c r="G79" s="570">
        <f t="shared" si="19"/>
        <v>0.000729684352152391</v>
      </c>
      <c r="H79" s="570">
        <f>C79*Conversions!$B$50</f>
        <v>0.0729684352152391</v>
      </c>
      <c r="I79" s="578"/>
      <c r="J79" s="571"/>
      <c r="K79" s="571"/>
      <c r="L79" s="571"/>
      <c r="M79" s="571"/>
      <c r="N79" s="571"/>
      <c r="O79" s="571"/>
      <c r="S79" s="183"/>
    </row>
    <row r="80" spans="1:19" ht="15">
      <c r="A80" s="572">
        <f t="shared" si="28"/>
        <v>240000</v>
      </c>
      <c r="B80" s="343">
        <f t="shared" si="29"/>
        <v>73152.01995587104</v>
      </c>
      <c r="C80" s="580">
        <f>C$24*((D$24/(D$24+(E$24*(A80-B$24))))^((G$18*H$18)/(F$18*E$24)))</f>
        <v>0.0008266163538276082</v>
      </c>
      <c r="D80" s="576">
        <f>C80*Conversions!$B$53</f>
        <v>0.020996055276715695</v>
      </c>
      <c r="E80" s="591">
        <f>C80*Conversions!$B$59</f>
        <v>0.00040599740571922873</v>
      </c>
      <c r="F80" s="592">
        <f>H80*Conversions!$D$67</f>
        <v>2.854634725977675E-05</v>
      </c>
      <c r="G80" s="591">
        <f t="shared" si="19"/>
        <v>0.0002799243816991076</v>
      </c>
      <c r="H80" s="580">
        <f>C80*Conversions!$B$50</f>
        <v>0.02799243816991076</v>
      </c>
      <c r="I80" t="s">
        <v>316</v>
      </c>
      <c r="M80"/>
      <c r="O80" s="65"/>
      <c r="S80" s="183" t="str">
        <f ca="1" t="shared" si="30" ref="S80:S87">INDIRECT(CONCATENATE("R",Q42,"C",$V$32),FALSE)</f>
        <v>      * L3 ;</v>
      </c>
    </row>
    <row r="81" spans="1:19" ht="15">
      <c r="A81" s="562">
        <f t="shared" si="28"/>
        <v>260000</v>
      </c>
      <c r="B81" s="277">
        <f t="shared" si="29"/>
        <v>79248.0216188603</v>
      </c>
      <c r="C81" s="297">
        <f>C$24*((D$24/(D$24+(E$24*(A81-B$24))))^((G$18*H$18)/(F$18*E$24)))</f>
        <v>0.00029809192401328153</v>
      </c>
      <c r="D81" s="287">
        <f>C81*Conversions!$B$53</f>
        <v>0.007571534830087168</v>
      </c>
      <c r="E81" s="593">
        <f>C81*Conversions!$B$59</f>
        <v>0.00014640957350389608</v>
      </c>
      <c r="F81" s="594">
        <f>H81*Conversions!$D$67</f>
        <v>1.0294298605169832E-05</v>
      </c>
      <c r="G81" s="593">
        <f t="shared" si="19"/>
        <v>0.00010094549561297135</v>
      </c>
      <c r="H81" s="297">
        <f>C81*Conversions!$B$50</f>
        <v>0.010094549561297135</v>
      </c>
      <c r="M81"/>
      <c r="S81" s="183" t="str">
        <f ca="1" t="shared" si="30"/>
        <v>    when (104986.9 &lt;=  hb  &lt; 154199.5)  do ;</v>
      </c>
    </row>
    <row r="82" spans="1:19" ht="15">
      <c r="A82" s="566">
        <f t="shared" si="28"/>
        <v>280000</v>
      </c>
      <c r="B82" s="567">
        <f t="shared" si="29"/>
        <v>85344.02328184954</v>
      </c>
      <c r="C82" s="570">
        <f>C$24*((D$24/(D$24+(E$24*(A82-B$24))))^((G$18*H$18)/(F$18*E$24)))</f>
        <v>0.00010075204047191143</v>
      </c>
      <c r="D82" s="569">
        <f>C82*Conversions!$B$53</f>
        <v>0.0025591018145175934</v>
      </c>
      <c r="E82" s="590">
        <f>C82*Conversions!$B$59</f>
        <v>4.948494771861915E-05</v>
      </c>
      <c r="F82" s="595">
        <f>H82*Conversions!$D$67</f>
        <v>3.4793682959750395E-06</v>
      </c>
      <c r="G82" s="590">
        <f t="shared" si="19"/>
        <v>3.411855149420989E-05</v>
      </c>
      <c r="H82" s="570">
        <f>C82*Conversions!$B$50</f>
        <v>0.003411855149420989</v>
      </c>
      <c r="I82" s="578"/>
      <c r="J82" s="571"/>
      <c r="K82" s="571"/>
      <c r="L82" s="571"/>
      <c r="M82" s="571"/>
      <c r="N82" s="571"/>
      <c r="O82" s="571"/>
      <c r="S82" s="183" t="str">
        <f ca="1" t="shared" si="30"/>
        <v>      hb=104986.9 ;</v>
      </c>
    </row>
    <row r="83" spans="1:19" ht="15">
      <c r="A83" s="596"/>
      <c r="M83"/>
      <c r="O83" s="65"/>
      <c r="S83" s="183" t="str">
        <f ca="1" t="shared" si="30"/>
        <v>      pb=0.2563258 ;</v>
      </c>
    </row>
    <row r="84" spans="8:19" ht="13.5" customHeight="1">
      <c r="H84" s="1155" t="s">
        <v>317</v>
      </c>
      <c r="I84" s="1155"/>
      <c r="J84" s="598"/>
      <c r="K84" s="599" t="s">
        <v>318</v>
      </c>
      <c r="S84" s="183" t="str">
        <f ca="1" t="shared" si="30"/>
        <v>      tb=228.65 ;</v>
      </c>
    </row>
    <row r="85" spans="7:19" ht="15">
      <c r="G85" s="597" t="s">
        <v>55</v>
      </c>
      <c r="H85" s="555" t="s">
        <v>151</v>
      </c>
      <c r="I85" s="554" t="s">
        <v>177</v>
      </c>
      <c r="J85" s="554" t="s">
        <v>55</v>
      </c>
      <c r="S85" s="183" t="str">
        <f ca="1" t="shared" si="30"/>
        <v>      lb= 0.00085344 ;</v>
      </c>
    </row>
    <row r="86" spans="1:19" ht="15">
      <c r="A86" s="600">
        <f aca="true" t="shared" si="31" ref="A86:A97">E86</f>
        <v>363.7944</v>
      </c>
      <c r="B86" s="601" t="s">
        <v>319</v>
      </c>
      <c r="C86" s="602">
        <f aca="true" t="shared" si="32" ref="C86:C97">C$18*((D$18/(D$18+(E$18*(A86-B$18))))^((G$18*H$18)/(F$18*E$18)))</f>
        <v>29.529987553273582</v>
      </c>
      <c r="D86" s="603">
        <f>C86*Conversions!$B$50</f>
        <v>999.9999962686885</v>
      </c>
      <c r="E86" s="604">
        <v>363.7944</v>
      </c>
      <c r="G86" s="1156">
        <f>D86</f>
        <v>999.9999962686885</v>
      </c>
      <c r="H86" s="1157">
        <f>A86</f>
        <v>363.7944</v>
      </c>
      <c r="I86" s="1158" t="str">
        <f>CONCATENATE(A87," ft")</f>
        <v>350 ft</v>
      </c>
      <c r="J86" s="1159">
        <f>D87</f>
        <v>1000.4998387673479</v>
      </c>
      <c r="K86" s="1160" t="s">
        <v>320</v>
      </c>
      <c r="L86" s="1161" t="str">
        <f>CONCATENATE(TEXT(G86,"####")," mB")</f>
        <v>1000 mB</v>
      </c>
      <c r="O86" s="605">
        <f>E86</f>
        <v>363.7944</v>
      </c>
      <c r="P86" s="606">
        <f>D86</f>
        <v>999.9999962686885</v>
      </c>
      <c r="S86" s="183" t="str">
        <f ca="1" t="shared" si="30"/>
        <v>      P = Pb * (  ( Tb / ( Tb + ( Lb * (h-hb) ) ) ) ** ( (g0*M) / (R_star*Lb) )  ) ;</v>
      </c>
    </row>
    <row r="87" spans="1:19" ht="15">
      <c r="A87" s="607">
        <f t="shared" si="31"/>
        <v>350</v>
      </c>
      <c r="B87" s="608" t="s">
        <v>321</v>
      </c>
      <c r="C87" s="609">
        <f t="shared" si="32"/>
        <v>29.544747896092666</v>
      </c>
      <c r="D87" s="610">
        <f>C87*Conversions!$B$50</f>
        <v>1000.4998387673479</v>
      </c>
      <c r="E87" s="611">
        <v>350</v>
      </c>
      <c r="G87" s="1156"/>
      <c r="H87" s="1157"/>
      <c r="I87" s="1158"/>
      <c r="J87" s="1159"/>
      <c r="K87" s="1160"/>
      <c r="L87" s="1161"/>
      <c r="O87" s="605">
        <f>E88</f>
        <v>4781.1692975</v>
      </c>
      <c r="P87" s="606">
        <f>D88</f>
        <v>849.9999999516654</v>
      </c>
      <c r="S87" s="183" t="str">
        <f ca="1" t="shared" si="30"/>
        <v>    end ;</v>
      </c>
    </row>
    <row r="88" spans="1:19" ht="15">
      <c r="A88" s="600">
        <f t="shared" si="31"/>
        <v>4781.1692975</v>
      </c>
      <c r="B88" s="601" t="s">
        <v>319</v>
      </c>
      <c r="C88" s="602">
        <f t="shared" si="32"/>
        <v>25.10048951251297</v>
      </c>
      <c r="D88" s="612">
        <f>C88*Conversions!$B$50</f>
        <v>849.9999999516654</v>
      </c>
      <c r="E88" s="604">
        <v>4781.1692975</v>
      </c>
      <c r="G88" s="1156">
        <f>D88</f>
        <v>849.9999999516654</v>
      </c>
      <c r="H88" s="1157">
        <f>A88</f>
        <v>4781.1692975</v>
      </c>
      <c r="I88" s="1158" t="str">
        <f>CONCATENATE(TEXT(A89,"#,###")," ft")</f>
        <v>5,000 ft</v>
      </c>
      <c r="J88" s="1159">
        <f>D89</f>
        <v>843.0727481546201</v>
      </c>
      <c r="K88" s="1162" t="s">
        <v>320</v>
      </c>
      <c r="L88" s="1161" t="str">
        <f>CONCATENATE(TEXT(G88,"####")," mB")</f>
        <v>850 mB</v>
      </c>
      <c r="O88" s="605">
        <f>E90</f>
        <v>6394.321174</v>
      </c>
      <c r="P88" s="606">
        <f>D90</f>
        <v>800.0000000215854</v>
      </c>
      <c r="S88" s="183"/>
    </row>
    <row r="89" spans="1:19" ht="15">
      <c r="A89" s="607">
        <f t="shared" si="31"/>
        <v>5000</v>
      </c>
      <c r="B89" s="608" t="s">
        <v>321</v>
      </c>
      <c r="C89" s="609">
        <f t="shared" si="32"/>
        <v>24.895927852404544</v>
      </c>
      <c r="D89" s="613">
        <f>C89*Conversions!$B$50</f>
        <v>843.0727481546201</v>
      </c>
      <c r="E89" s="611">
        <v>5000</v>
      </c>
      <c r="G89" s="1156"/>
      <c r="H89" s="1157"/>
      <c r="I89" s="1158"/>
      <c r="J89" s="1159"/>
      <c r="K89" s="1162"/>
      <c r="L89" s="1161"/>
      <c r="O89" s="605">
        <f>E92</f>
        <v>9882.4883</v>
      </c>
      <c r="P89" s="606">
        <f>D92</f>
        <v>700.0000000116505</v>
      </c>
      <c r="S89" s="183" t="str">
        <f ca="1" t="shared" si="33" ref="S89:S96">INDIRECT(CONCATENATE("R",Q42,"C",$W$32),FALSE)</f>
        <v>      * L4 ;</v>
      </c>
    </row>
    <row r="90" spans="1:19" ht="15">
      <c r="A90" s="600">
        <f t="shared" si="31"/>
        <v>6394.321174</v>
      </c>
      <c r="B90" s="601" t="s">
        <v>319</v>
      </c>
      <c r="C90" s="602">
        <f t="shared" si="32"/>
        <v>23.623990131404746</v>
      </c>
      <c r="D90" s="614">
        <f>C90*Conversions!$B$50</f>
        <v>800.0000000215854</v>
      </c>
      <c r="E90" s="604">
        <v>6394.321174</v>
      </c>
      <c r="G90" s="1156">
        <f>D90</f>
        <v>800.0000000215854</v>
      </c>
      <c r="H90" s="1157">
        <f>A90</f>
        <v>6394.321174</v>
      </c>
      <c r="I90" s="1158" t="str">
        <f>CONCATENATE(TEXT(A91,"#,###")," ft")</f>
        <v>6,500 ft</v>
      </c>
      <c r="J90" s="1159">
        <f>D91</f>
        <v>796.8095164488492</v>
      </c>
      <c r="K90" s="1162"/>
      <c r="L90" s="60"/>
      <c r="O90" s="605">
        <f>E94</f>
        <v>18288.836159</v>
      </c>
      <c r="P90" s="606">
        <f>D94</f>
        <v>499.9999999727066</v>
      </c>
      <c r="S90" s="183" t="str">
        <f ca="1" t="shared" si="33"/>
        <v>    when (154199.5 &lt;=  hb  &lt; 167322.8)  do ;</v>
      </c>
    </row>
    <row r="91" spans="1:19" ht="15">
      <c r="A91" s="607">
        <f t="shared" si="31"/>
        <v>6500</v>
      </c>
      <c r="B91" s="608" t="s">
        <v>321</v>
      </c>
      <c r="C91" s="609">
        <f t="shared" si="32"/>
        <v>23.52977519086138</v>
      </c>
      <c r="D91" s="613">
        <f>C91*Conversions!$B$50</f>
        <v>796.8095164488492</v>
      </c>
      <c r="E91" s="611">
        <v>6500</v>
      </c>
      <c r="G91" s="1156"/>
      <c r="H91" s="1157"/>
      <c r="I91" s="1158"/>
      <c r="J91" s="1159"/>
      <c r="K91" s="1162"/>
      <c r="L91" s="60"/>
      <c r="O91" s="605">
        <f>E96</f>
        <v>30065.47432</v>
      </c>
      <c r="P91" s="606">
        <f>D96</f>
        <v>300.00000001527474</v>
      </c>
      <c r="S91" s="183" t="str">
        <f ca="1" t="shared" si="33"/>
        <v>      hb=154199.5 ;</v>
      </c>
    </row>
    <row r="92" spans="1:19" ht="15">
      <c r="A92" s="600">
        <f t="shared" si="31"/>
        <v>9882.4883</v>
      </c>
      <c r="B92" s="601" t="s">
        <v>319</v>
      </c>
      <c r="C92" s="602">
        <f t="shared" si="32"/>
        <v>20.670991364765456</v>
      </c>
      <c r="D92" s="612">
        <f>C92*Conversions!$B$50</f>
        <v>700.0000000116505</v>
      </c>
      <c r="E92" s="604">
        <v>9882.4883</v>
      </c>
      <c r="G92" s="1156">
        <f>D92</f>
        <v>700.0000000116505</v>
      </c>
      <c r="H92" s="1157">
        <f>A92</f>
        <v>9882.4883</v>
      </c>
      <c r="I92" s="1158" t="str">
        <f>CONCATENATE(TEXT(A93,"#,###")," ft")</f>
        <v>10,000 ft</v>
      </c>
      <c r="J92" s="1159">
        <f>D93</f>
        <v>696.8165891625348</v>
      </c>
      <c r="K92" s="1162" t="s">
        <v>320</v>
      </c>
      <c r="L92" s="1161" t="str">
        <f>CONCATENATE(TEXT(G92,"####")," mB")</f>
        <v>700 mB</v>
      </c>
      <c r="O92" s="605">
        <f>E98</f>
        <v>33999.1637</v>
      </c>
      <c r="P92" s="606">
        <f>D98</f>
        <v>249.999999986646</v>
      </c>
      <c r="S92" s="183" t="str">
        <f ca="1" t="shared" si="33"/>
        <v>      pb=0.0327505 ;</v>
      </c>
    </row>
    <row r="93" spans="1:19" ht="14.25" customHeight="1">
      <c r="A93" s="607">
        <f t="shared" si="31"/>
        <v>10000</v>
      </c>
      <c r="B93" s="608" t="s">
        <v>321</v>
      </c>
      <c r="C93" s="609">
        <f t="shared" si="32"/>
        <v>20.576985281663344</v>
      </c>
      <c r="D93" s="613">
        <f>C93*Conversions!$B$50</f>
        <v>696.8165891625348</v>
      </c>
      <c r="E93" s="611">
        <v>10000</v>
      </c>
      <c r="G93" s="1156"/>
      <c r="H93" s="1157"/>
      <c r="I93" s="1158"/>
      <c r="J93" s="1159"/>
      <c r="K93" s="1162"/>
      <c r="L93" s="1161"/>
      <c r="O93" s="605">
        <f>E100</f>
        <v>38631.556521</v>
      </c>
      <c r="P93" s="606">
        <f>D100</f>
        <v>199.9999999579852</v>
      </c>
      <c r="S93" s="183" t="str">
        <f ca="1" t="shared" si="33"/>
        <v>      tb=270.65 ;</v>
      </c>
    </row>
    <row r="94" spans="1:19" ht="15">
      <c r="A94" s="600">
        <f t="shared" si="31"/>
        <v>18288.836159</v>
      </c>
      <c r="B94" s="601" t="s">
        <v>319</v>
      </c>
      <c r="C94" s="602">
        <f t="shared" si="32"/>
        <v>14.764993830923608</v>
      </c>
      <c r="D94" s="612">
        <f>C94*Conversions!$B$50</f>
        <v>499.9999999727066</v>
      </c>
      <c r="E94" s="604">
        <v>18288.836159</v>
      </c>
      <c r="G94" s="1156">
        <f>D94</f>
        <v>499.9999999727066</v>
      </c>
      <c r="H94" s="1157">
        <f>A94</f>
        <v>18288.836159</v>
      </c>
      <c r="I94" s="615" t="str">
        <f>CONCATENATE(TEXT(A95,"#,###")," ft")</f>
        <v>18,000 ft</v>
      </c>
      <c r="J94" s="1159">
        <f>D95</f>
        <v>505.9984405740328</v>
      </c>
      <c r="K94" s="1162" t="s">
        <v>320</v>
      </c>
      <c r="L94" s="1161" t="str">
        <f>CONCATENATE(TEXT(G94,"####")," mB")</f>
        <v>500 mB</v>
      </c>
      <c r="O94" s="605">
        <f>E102</f>
        <v>44647.00272</v>
      </c>
      <c r="P94" s="606">
        <f>D102</f>
        <v>150.00000000767614</v>
      </c>
      <c r="S94" s="183" t="str">
        <f ca="1" t="shared" si="33"/>
        <v>      lb= 0 ;</v>
      </c>
    </row>
    <row r="95" spans="1:19" ht="15">
      <c r="A95" s="607">
        <f t="shared" si="31"/>
        <v>18000</v>
      </c>
      <c r="B95" s="608" t="s">
        <v>321</v>
      </c>
      <c r="C95" s="609">
        <f t="shared" si="32"/>
        <v>14.942127707880765</v>
      </c>
      <c r="D95" s="613">
        <f>C95*Conversions!$B$50</f>
        <v>505.9984405740328</v>
      </c>
      <c r="E95" s="611">
        <v>18000</v>
      </c>
      <c r="G95" s="1156"/>
      <c r="H95" s="1157"/>
      <c r="I95" s="616" t="str">
        <f>CONCATENATE("FL",LEFT(A95,3))</f>
        <v>FL180</v>
      </c>
      <c r="J95" s="1159"/>
      <c r="K95" s="1162"/>
      <c r="L95" s="1161"/>
      <c r="O95" s="617">
        <f>E104</f>
        <v>53083.04454</v>
      </c>
      <c r="P95" s="606">
        <f>D104</f>
        <v>99.99999998129526</v>
      </c>
      <c r="S95" s="183" t="str">
        <f ca="1" t="shared" si="33"/>
        <v>      P = Pb * exp (   ( - g0 * M * (h-hb) ) / (R_star*Tb ) )  ;</v>
      </c>
    </row>
    <row r="96" spans="1:19" ht="15">
      <c r="A96" s="600">
        <f t="shared" si="31"/>
        <v>30065.47432</v>
      </c>
      <c r="B96" s="601" t="s">
        <v>319</v>
      </c>
      <c r="C96" s="602">
        <f t="shared" si="32"/>
        <v>8.858996299488812</v>
      </c>
      <c r="D96" s="612">
        <f>C96*Conversions!$B$50</f>
        <v>300.00000001527474</v>
      </c>
      <c r="E96" s="604">
        <v>30065.47432</v>
      </c>
      <c r="G96" s="1156">
        <f>D96</f>
        <v>300.00000001527474</v>
      </c>
      <c r="H96" s="1157">
        <f>A96</f>
        <v>30065.47432</v>
      </c>
      <c r="I96" s="1163" t="str">
        <f>CONCATENATE("FL",LEFT(A97,3))</f>
        <v>FL300</v>
      </c>
      <c r="J96" s="1159">
        <f>D97</f>
        <v>300.89586753403194</v>
      </c>
      <c r="K96" s="1162" t="s">
        <v>320</v>
      </c>
      <c r="L96" s="1161" t="str">
        <f>CONCATENATE(TEXT(G96,"####")," mB")</f>
        <v>300 mB</v>
      </c>
      <c r="S96" s="183" t="str">
        <f ca="1" t="shared" si="33"/>
        <v>    end ;</v>
      </c>
    </row>
    <row r="97" spans="1:19" ht="15">
      <c r="A97" s="607">
        <f t="shared" si="31"/>
        <v>30000</v>
      </c>
      <c r="B97" s="608" t="s">
        <v>321</v>
      </c>
      <c r="C97" s="609">
        <f t="shared" si="32"/>
        <v>8.885451256265807</v>
      </c>
      <c r="D97" s="613">
        <f>C97*Conversions!$B$50</f>
        <v>300.89586753403194</v>
      </c>
      <c r="E97" s="611">
        <v>30000</v>
      </c>
      <c r="G97" s="1156"/>
      <c r="H97" s="1157"/>
      <c r="I97" s="1163"/>
      <c r="J97" s="1159"/>
      <c r="K97" s="1162"/>
      <c r="L97" s="1161"/>
      <c r="O97" s="605">
        <f>D89</f>
        <v>843.0727481546201</v>
      </c>
      <c r="P97" s="606">
        <f>E89</f>
        <v>5000</v>
      </c>
      <c r="S97" s="183"/>
    </row>
    <row r="98" spans="1:19" ht="15">
      <c r="A98" s="600">
        <f aca="true" t="shared" si="34" ref="A98:A105">E98</f>
        <v>33999.1637</v>
      </c>
      <c r="B98" s="601" t="s">
        <v>319</v>
      </c>
      <c r="C98" s="602">
        <f>C$18*((D$18/(D$18+(E$18*(A98-B$18))))^((G$18*H$18)/(F$18*E$18)))</f>
        <v>7.382496915470448</v>
      </c>
      <c r="D98" s="612">
        <f>C98*Conversions!$B$50</f>
        <v>249.999999986646</v>
      </c>
      <c r="E98" s="604">
        <v>33999.1637</v>
      </c>
      <c r="G98" s="1156">
        <f>D98</f>
        <v>249.999999986646</v>
      </c>
      <c r="H98" s="1157">
        <f>A98</f>
        <v>33999.1637</v>
      </c>
      <c r="I98" s="1163" t="str">
        <f>CONCATENATE("FL",LEFT(A99,3))</f>
        <v>FL340</v>
      </c>
      <c r="J98" s="1159">
        <f>D99</f>
        <v>249.99013974536305</v>
      </c>
      <c r="K98" s="1162" t="s">
        <v>320</v>
      </c>
      <c r="L98" s="1161" t="str">
        <f>CONCATENATE(TEXT(G98,"####")," mB")</f>
        <v>250 mB</v>
      </c>
      <c r="O98" s="605">
        <f>D91</f>
        <v>796.8095164488492</v>
      </c>
      <c r="P98" s="606">
        <f>E91</f>
        <v>6500</v>
      </c>
      <c r="S98" s="183" t="str">
        <f ca="1" t="shared" si="35" ref="S98:S103">INDIRECT(CONCATENATE("R",Q42,"C",$X$32),FALSE)</f>
        <v>      * L5 ;</v>
      </c>
    </row>
    <row r="99" spans="1:19" ht="15">
      <c r="A99" s="607">
        <f t="shared" si="34"/>
        <v>34000</v>
      </c>
      <c r="B99" s="608" t="s">
        <v>321</v>
      </c>
      <c r="C99" s="609">
        <f>C$18*((D$18/(D$18+(E$18*(A99-B$18))))^((G$18*H$18)/(F$18*E$18)))</f>
        <v>7.382205742667003</v>
      </c>
      <c r="D99" s="613">
        <f>C99*Conversions!$B$50</f>
        <v>249.99013974536305</v>
      </c>
      <c r="E99" s="611">
        <v>34000</v>
      </c>
      <c r="G99" s="1156"/>
      <c r="H99" s="1157"/>
      <c r="I99" s="1163"/>
      <c r="J99" s="1159"/>
      <c r="K99" s="1162"/>
      <c r="L99" s="1161"/>
      <c r="O99" s="605">
        <f>D93</f>
        <v>696.8165891625348</v>
      </c>
      <c r="P99" s="606">
        <f>E93</f>
        <v>10000</v>
      </c>
      <c r="S99" s="183" t="str">
        <f ca="1" t="shared" si="35"/>
        <v>    when (167322.8 &lt;=  hb  &lt; 232939.6)  do ;</v>
      </c>
    </row>
    <row r="100" spans="1:19" ht="15">
      <c r="A100" s="600">
        <f t="shared" si="34"/>
        <v>38631.556521</v>
      </c>
      <c r="B100" s="601" t="s">
        <v>319</v>
      </c>
      <c r="C100" s="602">
        <f>C$18*((D$18/(D$18+(E$18*(A100-B$18))))^((G$18*H$18)/(F$18*E$18)))</f>
        <v>5.905997531451137</v>
      </c>
      <c r="D100" s="612">
        <f>C100*Conversions!$B$50</f>
        <v>199.9999999579852</v>
      </c>
      <c r="E100" s="604">
        <v>38631.556521</v>
      </c>
      <c r="G100" s="1156">
        <f>D100</f>
        <v>199.9999999579852</v>
      </c>
      <c r="H100" s="1157">
        <f>A100</f>
        <v>38631.556521</v>
      </c>
      <c r="I100" s="1163" t="str">
        <f>CONCATENATE("FL",LEFT(A101,3))</f>
        <v>FL390</v>
      </c>
      <c r="J100" s="1159">
        <f>D101</f>
        <v>196.40048459666258</v>
      </c>
      <c r="K100" s="1162" t="s">
        <v>320</v>
      </c>
      <c r="L100" s="1161" t="str">
        <f>CONCATENATE(TEXT(G100,"####")," mB")</f>
        <v>200 mB</v>
      </c>
      <c r="O100" s="605">
        <f>D95</f>
        <v>505.9984405740328</v>
      </c>
      <c r="P100" s="606">
        <f>E95</f>
        <v>18000</v>
      </c>
      <c r="S100" s="183" t="str">
        <f ca="1" t="shared" si="35"/>
        <v>      hb=167322.8 ;</v>
      </c>
    </row>
    <row r="101" spans="1:19" ht="15">
      <c r="A101" s="607">
        <f t="shared" si="34"/>
        <v>39000</v>
      </c>
      <c r="B101" s="608" t="s">
        <v>321</v>
      </c>
      <c r="C101" s="609">
        <f>C$18*((D$18/(D$18+(E$18*(A101-B$18))))^((G$18*H$18)/(F$18*E$18)))</f>
        <v>5.799703887236848</v>
      </c>
      <c r="D101" s="613">
        <f>C101*Conversions!$B$50</f>
        <v>196.40048459666258</v>
      </c>
      <c r="E101" s="611">
        <v>39000</v>
      </c>
      <c r="G101" s="1156"/>
      <c r="H101" s="1157"/>
      <c r="I101" s="1163"/>
      <c r="J101" s="1159"/>
      <c r="K101" s="1162"/>
      <c r="L101" s="1161"/>
      <c r="O101" s="605">
        <f>D97</f>
        <v>300.89586753403194</v>
      </c>
      <c r="P101" s="606">
        <f>E97</f>
        <v>30000</v>
      </c>
      <c r="S101" s="183" t="str">
        <f ca="1" t="shared" si="35"/>
        <v>      pb=0.01976704 ;</v>
      </c>
    </row>
    <row r="102" spans="1:19" ht="15">
      <c r="A102" s="600">
        <f t="shared" si="34"/>
        <v>44647.00272</v>
      </c>
      <c r="B102" s="601" t="s">
        <v>319</v>
      </c>
      <c r="C102" s="602">
        <f>C$19*EXP((-G$18*H$18*(A102-B$19))/(F$18*$D$19))</f>
        <v>4.429498149745551</v>
      </c>
      <c r="D102" s="612">
        <f>C102*Conversions!$B$50</f>
        <v>150.00000000767614</v>
      </c>
      <c r="E102" s="604">
        <v>44647.00272</v>
      </c>
      <c r="G102" s="1156">
        <f>D102</f>
        <v>150.00000000767614</v>
      </c>
      <c r="H102" s="1157">
        <f>A102</f>
        <v>44647.00272</v>
      </c>
      <c r="I102" s="1163" t="str">
        <f>CONCATENATE("FL",LEFT(A103,3))</f>
        <v>FL450</v>
      </c>
      <c r="J102" s="1159">
        <f>D103</f>
        <v>147.4765284508262</v>
      </c>
      <c r="K102" s="1162" t="s">
        <v>320</v>
      </c>
      <c r="L102" s="1161" t="str">
        <f>CONCATENATE(TEXT(G102,"####")," mB")</f>
        <v>150 mB</v>
      </c>
      <c r="O102" s="605">
        <f>D99</f>
        <v>249.99013974536305</v>
      </c>
      <c r="P102" s="606">
        <f>E99</f>
        <v>34000</v>
      </c>
      <c r="S102" s="183" t="str">
        <f ca="1" t="shared" si="35"/>
        <v>      tb=270.65 ;</v>
      </c>
    </row>
    <row r="103" spans="1:19" ht="15">
      <c r="A103" s="607">
        <f t="shared" si="34"/>
        <v>45000</v>
      </c>
      <c r="B103" s="608" t="s">
        <v>321</v>
      </c>
      <c r="C103" s="609">
        <f>C$19*EXP((-G$18*H$18*(A103-B$19))/(F$18*$D$19))</f>
        <v>4.354980065802683</v>
      </c>
      <c r="D103" s="613">
        <f>C103*Conversions!$B$50</f>
        <v>147.4765284508262</v>
      </c>
      <c r="E103" s="611">
        <v>45000</v>
      </c>
      <c r="G103" s="1156"/>
      <c r="H103" s="1157"/>
      <c r="I103" s="1163"/>
      <c r="J103" s="1159"/>
      <c r="K103" s="1162"/>
      <c r="L103" s="1161"/>
      <c r="O103" s="605">
        <f>D101</f>
        <v>196.40048459666258</v>
      </c>
      <c r="P103" s="606">
        <f>E101</f>
        <v>39000</v>
      </c>
      <c r="S103" s="183" t="str">
        <f ca="1" t="shared" si="35"/>
        <v>      lb= -0.00085344 ;</v>
      </c>
    </row>
    <row r="104" spans="1:19" ht="15">
      <c r="A104" s="600">
        <f t="shared" si="34"/>
        <v>53083.04454</v>
      </c>
      <c r="B104" s="601" t="s">
        <v>319</v>
      </c>
      <c r="C104" s="602">
        <f>C$19*EXP((-G$18*H$18*(A104-B$19))/(F$18*$D$19))</f>
        <v>2.952998765793566</v>
      </c>
      <c r="D104" s="612">
        <f>C104*Conversions!$B$50</f>
        <v>99.99999998129526</v>
      </c>
      <c r="E104" s="604">
        <v>53083.04454</v>
      </c>
      <c r="G104" s="1156">
        <f>D104</f>
        <v>99.99999998129526</v>
      </c>
      <c r="H104" s="1157">
        <f>A104</f>
        <v>53083.04454</v>
      </c>
      <c r="I104" s="1163" t="str">
        <f>CONCATENATE("FL",LEFT(A105,3))</f>
        <v>FL630</v>
      </c>
      <c r="J104" s="1159">
        <f>D105</f>
        <v>62.08642014932096</v>
      </c>
      <c r="O104" s="605">
        <f>D103</f>
        <v>147.4765284508262</v>
      </c>
      <c r="P104" s="606">
        <f>E103</f>
        <v>45000</v>
      </c>
      <c r="S104" s="183" t="str">
        <f ca="1">INDIRECT(CONCATENATE("R",Q48,"C",$X$32),FALSE)</f>
        <v>      P = Pb * (  ( Tb / ( Tb + ( Lb * (h-hb) ) ) ) ** ( (g0*M) / (R_star*Lb) )  ) ;</v>
      </c>
    </row>
    <row r="105" spans="1:19" ht="15">
      <c r="A105" s="607">
        <f t="shared" si="34"/>
        <v>63000</v>
      </c>
      <c r="B105" s="608" t="s">
        <v>321</v>
      </c>
      <c r="C105" s="609">
        <f>C$19*EXP((-G$18*H$18*(A105-B$19))/(F$18*$D$19))</f>
        <v>1.8334112210777904</v>
      </c>
      <c r="D105" s="613">
        <f>C105*Conversions!$B$50</f>
        <v>62.08642014932096</v>
      </c>
      <c r="E105" s="611">
        <v>63000</v>
      </c>
      <c r="G105" s="1156"/>
      <c r="H105" s="1157"/>
      <c r="I105" s="1163"/>
      <c r="J105" s="1159"/>
      <c r="O105" s="605">
        <f>D105</f>
        <v>62.08642014932096</v>
      </c>
      <c r="P105" s="606">
        <f>E105</f>
        <v>63000</v>
      </c>
      <c r="S105" s="183" t="str">
        <f ca="1">INDIRECT(CONCATENATE("R",Q49,"C",$X$32),FALSE)</f>
        <v>    end ;</v>
      </c>
    </row>
    <row r="106" ht="15">
      <c r="S106" s="183"/>
    </row>
    <row r="107" ht="15">
      <c r="S107" s="183" t="str">
        <f ca="1" t="shared" si="36" ref="S107:S114">INDIRECT(CONCATENATE("R",Q42,"C",$Y$32),FALSE)</f>
        <v>      * L6 ;</v>
      </c>
    </row>
    <row r="108" spans="1:19" ht="15">
      <c r="A108" s="3" t="s">
        <v>412</v>
      </c>
      <c r="S108" s="183" t="str">
        <f ca="1" t="shared" si="36"/>
        <v>    otherwise do ;</v>
      </c>
    </row>
    <row r="109" spans="1:19" ht="15">
      <c r="A109" s="1136" t="s">
        <v>193</v>
      </c>
      <c r="B109" s="1136"/>
      <c r="C109" s="1136"/>
      <c r="D109" s="1136"/>
      <c r="E109" s="1136"/>
      <c r="F109" s="1136"/>
      <c r="G109" s="1136"/>
      <c r="H109" s="1136"/>
      <c r="I109" s="1136"/>
      <c r="J109" s="1136"/>
      <c r="K109" s="1136"/>
      <c r="L109" s="1136"/>
      <c r="S109" s="183" t="str">
        <f ca="1" t="shared" si="36"/>
        <v>      hb=232939.6 ;</v>
      </c>
    </row>
    <row r="110" spans="1:19" ht="14.25" customHeight="1">
      <c r="A110" s="368" t="s">
        <v>194</v>
      </c>
      <c r="B110" s="1141" t="s">
        <v>174</v>
      </c>
      <c r="C110" s="1141"/>
      <c r="D110" s="1137" t="s">
        <v>147</v>
      </c>
      <c r="E110" s="1137"/>
      <c r="F110" s="1137"/>
      <c r="G110" s="1139" t="s">
        <v>148</v>
      </c>
      <c r="H110" s="1139"/>
      <c r="I110" s="1135" t="s">
        <v>149</v>
      </c>
      <c r="J110" s="1135"/>
      <c r="K110" s="1135"/>
      <c r="L110" s="1135"/>
      <c r="S110" s="183" t="str">
        <f ca="1" t="shared" si="36"/>
        <v>      pb=0.00116833 ;</v>
      </c>
    </row>
    <row r="111" spans="1:19" ht="12" customHeight="1">
      <c r="A111" s="369" t="s">
        <v>173</v>
      </c>
      <c r="B111" s="370" t="s">
        <v>195</v>
      </c>
      <c r="C111" s="311" t="s">
        <v>196</v>
      </c>
      <c r="D111" s="371" t="s">
        <v>151</v>
      </c>
      <c r="E111" s="372" t="s">
        <v>152</v>
      </c>
      <c r="F111" s="372" t="s">
        <v>197</v>
      </c>
      <c r="G111" s="373" t="s">
        <v>153</v>
      </c>
      <c r="H111" s="372" t="s">
        <v>154</v>
      </c>
      <c r="I111" s="374" t="s">
        <v>155</v>
      </c>
      <c r="J111" s="374" t="s">
        <v>322</v>
      </c>
      <c r="K111" s="374" t="s">
        <v>157</v>
      </c>
      <c r="L111" s="311" t="s">
        <v>55</v>
      </c>
      <c r="N111" s="564" t="str">
        <f aca="true" t="shared" si="37" ref="N111:N120">K111</f>
        <v>kPa</v>
      </c>
      <c r="S111" s="183" t="str">
        <f ca="1" t="shared" si="36"/>
        <v>      tb=214.65 ;</v>
      </c>
    </row>
    <row r="112" spans="1:19" ht="12" customHeight="1">
      <c r="A112" s="375">
        <v>1000</v>
      </c>
      <c r="B112" s="376">
        <f>H86</f>
        <v>363.7944</v>
      </c>
      <c r="C112" s="618" t="str">
        <f>IF(B112&lt;18000,CONCATENATE(MROUND(B112,10)," ft"),CONCATENATE("FL ",ROUND((LEFT(B112,3)/10),0)*10))</f>
        <v>360 ft</v>
      </c>
      <c r="D112" s="377">
        <f aca="true" t="shared" si="38" ref="D112:D120">O87</f>
        <v>4781.1692975</v>
      </c>
      <c r="E112" s="378">
        <f>D112*Conversions!$A$40</f>
        <v>1457.3003996629034</v>
      </c>
      <c r="F112" s="379">
        <f>E112/10</f>
        <v>145.73003996629035</v>
      </c>
      <c r="G112" s="380">
        <f>L112*(Conversions!$A$67)</f>
        <v>29.530099980709167</v>
      </c>
      <c r="H112" s="381">
        <f>L112*Conversions!$B$67</f>
        <v>750.0616827041697</v>
      </c>
      <c r="I112" s="382">
        <f>L112*Conversions!$C$67</f>
        <v>14.503824327658524</v>
      </c>
      <c r="J112" s="383">
        <f>L112*Conversions!$D$67</f>
        <v>1.0197878114976562</v>
      </c>
      <c r="K112" s="384">
        <f>L112/100</f>
        <v>10</v>
      </c>
      <c r="L112" s="385">
        <f aca="true" t="shared" si="39" ref="L112:L120">A112</f>
        <v>1000</v>
      </c>
      <c r="N112" s="619">
        <f t="shared" si="37"/>
        <v>10</v>
      </c>
      <c r="S112" s="183" t="str">
        <f ca="1" t="shared" si="36"/>
        <v>      lb= -0.0006097 ;</v>
      </c>
    </row>
    <row r="113" spans="1:19" ht="15">
      <c r="A113" s="386">
        <v>850</v>
      </c>
      <c r="B113" s="376">
        <f>H88</f>
        <v>4781.1692975</v>
      </c>
      <c r="C113" s="618" t="str">
        <f>IF(B113&lt;18000,CONCATENATE(TEXT(MROUND(B113,1000),"#,###")," ft"),CONCATENATE("FL ",ROUND((LEFT(B113,3)/10),0)*10))</f>
        <v>5,000 ft</v>
      </c>
      <c r="D113" s="377">
        <f t="shared" si="38"/>
        <v>6394.321174</v>
      </c>
      <c r="E113" s="378">
        <f>D113*Conversions!$A$40</f>
        <v>1948.9890908727366</v>
      </c>
      <c r="F113" s="379">
        <f aca="true" t="shared" si="40" ref="F113:F120">E113/10</f>
        <v>194.89890908727367</v>
      </c>
      <c r="G113" s="380">
        <f>L113*(Conversions!$A$67)</f>
        <v>25.100584983602793</v>
      </c>
      <c r="H113" s="381">
        <f>L113*Conversions!$B$67</f>
        <v>637.5524302985443</v>
      </c>
      <c r="I113" s="382">
        <f>L113*Conversions!$C$67</f>
        <v>12.328250678509745</v>
      </c>
      <c r="J113" s="383">
        <f>L113*Conversions!$D$67</f>
        <v>0.8668196397730078</v>
      </c>
      <c r="K113" s="384">
        <f>L113/100</f>
        <v>8.5</v>
      </c>
      <c r="L113" s="385">
        <f t="shared" si="39"/>
        <v>850</v>
      </c>
      <c r="M113"/>
      <c r="N113" s="619">
        <f t="shared" si="37"/>
        <v>8.5</v>
      </c>
      <c r="S113" s="183" t="str">
        <f ca="1" t="shared" si="36"/>
        <v>      P = Pb * (  ( Tb / ( Tb + ( Lb * (h-hb) ) ) ) ** ( (g0*M) / (R_star*Lb) )  ) ;</v>
      </c>
    </row>
    <row r="114" spans="1:19" ht="15">
      <c r="A114" s="387">
        <v>700</v>
      </c>
      <c r="B114" s="376">
        <f>H92</f>
        <v>9882.4883</v>
      </c>
      <c r="C114" s="618" t="str">
        <f>IF(B114&lt;18000,CONCATENATE(TEXT(MROUND(B114,1000),"#,###")," ft"),CONCATENATE("FL ",ROUND((LEFT(B114,3)/10),0)*10))</f>
        <v>10,000 ft</v>
      </c>
      <c r="D114" s="388">
        <f t="shared" si="38"/>
        <v>9882.4883</v>
      </c>
      <c r="E114" s="378">
        <f>D114*Conversions!$A$40</f>
        <v>3012.182429261483</v>
      </c>
      <c r="F114" s="379">
        <f t="shared" si="40"/>
        <v>301.21824292614826</v>
      </c>
      <c r="G114" s="380">
        <f>L114*(Conversions!$A$67)</f>
        <v>20.671069986496416</v>
      </c>
      <c r="H114" s="381">
        <f>L114*Conversions!$B$67</f>
        <v>525.0431778929188</v>
      </c>
      <c r="I114" s="382">
        <f>L114*Conversions!$C$67</f>
        <v>10.152677029360966</v>
      </c>
      <c r="J114" s="389">
        <f>L114*Conversions!$D$67</f>
        <v>0.7138514680483594</v>
      </c>
      <c r="K114" s="384">
        <f aca="true" t="shared" si="41" ref="K114:K120">L114/100</f>
        <v>7</v>
      </c>
      <c r="L114" s="385">
        <f t="shared" si="39"/>
        <v>700</v>
      </c>
      <c r="N114" s="619">
        <f t="shared" si="37"/>
        <v>7</v>
      </c>
      <c r="S114" s="183" t="str">
        <f ca="1" t="shared" si="36"/>
        <v>    end ;</v>
      </c>
    </row>
    <row r="115" spans="1:19" ht="15">
      <c r="A115" s="387">
        <v>500</v>
      </c>
      <c r="B115" s="899">
        <f>H94</f>
        <v>18288.836159</v>
      </c>
      <c r="C115" s="376" t="str">
        <f aca="true" t="shared" si="42" ref="C115:C120">IF(B115&lt;18000,CONCATENATE(B115," ft"),CONCATENATE("FL ",ROUND((LEFT(B115,3)/10),0)*10))</f>
        <v>FL 180</v>
      </c>
      <c r="D115" s="390">
        <f t="shared" si="38"/>
        <v>18288.836159</v>
      </c>
      <c r="E115" s="378">
        <f>D115*Conversions!$A$40</f>
        <v>5574.437252790055</v>
      </c>
      <c r="F115" s="379">
        <f t="shared" si="40"/>
        <v>557.4437252790055</v>
      </c>
      <c r="G115" s="380">
        <f>L115*(Conversions!$A$67)</f>
        <v>14.765049990354584</v>
      </c>
      <c r="H115" s="381">
        <f>L115*Conversions!$B$67</f>
        <v>375.03084135208485</v>
      </c>
      <c r="I115" s="382">
        <f>L115*Conversions!$C$67</f>
        <v>7.251912163829262</v>
      </c>
      <c r="J115" s="389">
        <f>L115*Conversions!$D$67</f>
        <v>0.5098939057488281</v>
      </c>
      <c r="K115" s="384">
        <f t="shared" si="41"/>
        <v>5</v>
      </c>
      <c r="L115" s="385">
        <f t="shared" si="39"/>
        <v>500</v>
      </c>
      <c r="N115" s="619">
        <f t="shared" si="37"/>
        <v>5</v>
      </c>
      <c r="S115" s="183"/>
    </row>
    <row r="116" spans="1:19" ht="15">
      <c r="A116" s="387">
        <v>300</v>
      </c>
      <c r="B116" s="899">
        <f>H96</f>
        <v>30065.47432</v>
      </c>
      <c r="C116" s="376" t="str">
        <f t="shared" si="42"/>
        <v>FL 300</v>
      </c>
      <c r="D116" s="390">
        <f t="shared" si="38"/>
        <v>30065.47432</v>
      </c>
      <c r="E116" s="378">
        <f>D116*Conversions!$A$40</f>
        <v>9163.956558806787</v>
      </c>
      <c r="F116" s="379">
        <f t="shared" si="40"/>
        <v>916.3956558806788</v>
      </c>
      <c r="G116" s="380">
        <f>L116*(Conversions!$A$67)</f>
        <v>8.85902999421275</v>
      </c>
      <c r="H116" s="381">
        <f>L116*Conversions!$B$67</f>
        <v>225.01850481125092</v>
      </c>
      <c r="I116" s="382">
        <f>L116*Conversions!$C$67</f>
        <v>4.351147298297557</v>
      </c>
      <c r="J116" s="389">
        <f>L116*Conversions!$D$67</f>
        <v>0.3059363434492969</v>
      </c>
      <c r="K116" s="384">
        <f t="shared" si="41"/>
        <v>3</v>
      </c>
      <c r="L116" s="385">
        <f t="shared" si="39"/>
        <v>300</v>
      </c>
      <c r="N116" s="619">
        <f t="shared" si="37"/>
        <v>3</v>
      </c>
      <c r="S116" s="193" t="s">
        <v>326</v>
      </c>
    </row>
    <row r="117" spans="1:14" ht="15">
      <c r="A117" s="387">
        <v>250</v>
      </c>
      <c r="B117" s="899">
        <f>H98</f>
        <v>33999.1637</v>
      </c>
      <c r="C117" s="376" t="str">
        <f t="shared" si="42"/>
        <v>FL 340</v>
      </c>
      <c r="D117" s="390">
        <f t="shared" si="38"/>
        <v>33999.1637</v>
      </c>
      <c r="E117" s="378">
        <f>D117*Conversions!$A$40</f>
        <v>10362.945080008323</v>
      </c>
      <c r="F117" s="379">
        <f t="shared" si="40"/>
        <v>1036.2945080008324</v>
      </c>
      <c r="G117" s="380">
        <f>L117*(Conversions!$A$67)</f>
        <v>7.382524995177292</v>
      </c>
      <c r="H117" s="381">
        <f>L117*Conversions!$B$67</f>
        <v>187.51542067604242</v>
      </c>
      <c r="I117" s="382">
        <f>L117*Conversions!$C$67</f>
        <v>3.625956081914631</v>
      </c>
      <c r="J117" s="389">
        <f>L117*Conversions!$D$67</f>
        <v>0.25494695287441405</v>
      </c>
      <c r="K117" s="384">
        <f t="shared" si="41"/>
        <v>2.5</v>
      </c>
      <c r="L117" s="385">
        <f t="shared" si="39"/>
        <v>250</v>
      </c>
      <c r="N117" s="619">
        <f t="shared" si="37"/>
        <v>2.5</v>
      </c>
    </row>
    <row r="118" spans="1:14" ht="15">
      <c r="A118" s="387">
        <v>200</v>
      </c>
      <c r="B118" s="899">
        <f>H100</f>
        <v>38631.556521</v>
      </c>
      <c r="C118" s="376" t="str">
        <f t="shared" si="42"/>
        <v>FL 390</v>
      </c>
      <c r="D118" s="390">
        <f t="shared" si="38"/>
        <v>38631.556521</v>
      </c>
      <c r="E118" s="378">
        <f>D118*Conversions!$A$40</f>
        <v>11774.898409702953</v>
      </c>
      <c r="F118" s="379">
        <f t="shared" si="40"/>
        <v>1177.4898409702953</v>
      </c>
      <c r="G118" s="380">
        <f>L118*(Conversions!$A$67)</f>
        <v>5.906019996141834</v>
      </c>
      <c r="H118" s="381">
        <f>L118*Conversions!$B$67</f>
        <v>150.01233654083396</v>
      </c>
      <c r="I118" s="382">
        <f>L118*Conversions!$C$67</f>
        <v>2.9007648655317047</v>
      </c>
      <c r="J118" s="389">
        <f>L118*Conversions!$D$67</f>
        <v>0.20395756229953124</v>
      </c>
      <c r="K118" s="384">
        <f t="shared" si="41"/>
        <v>2</v>
      </c>
      <c r="L118" s="385">
        <f t="shared" si="39"/>
        <v>200</v>
      </c>
      <c r="N118" s="619">
        <f t="shared" si="37"/>
        <v>2</v>
      </c>
    </row>
    <row r="119" spans="1:14" ht="15">
      <c r="A119" s="387">
        <v>150</v>
      </c>
      <c r="B119" s="899">
        <f>H102</f>
        <v>44647.00272</v>
      </c>
      <c r="C119" s="376" t="str">
        <f t="shared" si="42"/>
        <v>FL 450</v>
      </c>
      <c r="D119" s="377">
        <f t="shared" si="38"/>
        <v>44647.00272</v>
      </c>
      <c r="E119" s="378">
        <f>D119*Conversions!$A$40</f>
        <v>13608.406408371222</v>
      </c>
      <c r="F119" s="379">
        <f t="shared" si="40"/>
        <v>1360.8406408371222</v>
      </c>
      <c r="G119" s="380">
        <f>L119*(Conversions!$A$67)</f>
        <v>4.429514997106375</v>
      </c>
      <c r="H119" s="381">
        <f>L119*Conversions!$B$67</f>
        <v>112.50925240562546</v>
      </c>
      <c r="I119" s="382">
        <f>L119*Conversions!$C$67</f>
        <v>2.1755736491487787</v>
      </c>
      <c r="J119" s="389">
        <f>L119*Conversions!$D$67</f>
        <v>0.15296817172464844</v>
      </c>
      <c r="K119" s="384">
        <f t="shared" si="41"/>
        <v>1.5</v>
      </c>
      <c r="L119" s="385">
        <f t="shared" si="39"/>
        <v>150</v>
      </c>
      <c r="N119" s="620">
        <f t="shared" si="37"/>
        <v>1.5</v>
      </c>
    </row>
    <row r="120" spans="1:14" ht="15">
      <c r="A120" s="391">
        <v>100</v>
      </c>
      <c r="B120" s="900">
        <f>H104</f>
        <v>53083.04454</v>
      </c>
      <c r="C120" s="621" t="str">
        <f t="shared" si="42"/>
        <v>FL 530</v>
      </c>
      <c r="D120" s="392">
        <f t="shared" si="38"/>
        <v>53083.04454</v>
      </c>
      <c r="E120" s="393">
        <f>D120*Conversions!$A$40</f>
        <v>16179.711951198839</v>
      </c>
      <c r="F120" s="394">
        <f t="shared" si="40"/>
        <v>1617.9711951198838</v>
      </c>
      <c r="G120" s="395">
        <f>L120*(Conversions!$A$67)</f>
        <v>2.953009998070917</v>
      </c>
      <c r="H120" s="396">
        <f>L120*Conversions!$B$67</f>
        <v>75.00616827041698</v>
      </c>
      <c r="I120" s="397">
        <f>L120*Conversions!$C$67</f>
        <v>1.4503824327658523</v>
      </c>
      <c r="J120" s="398">
        <f>L120*Conversions!$D$67</f>
        <v>0.10197878114976562</v>
      </c>
      <c r="K120" s="399">
        <f t="shared" si="41"/>
        <v>1</v>
      </c>
      <c r="L120" s="400">
        <f t="shared" si="39"/>
        <v>100</v>
      </c>
      <c r="N120" s="620">
        <f t="shared" si="37"/>
        <v>1</v>
      </c>
    </row>
    <row r="121" ht="15">
      <c r="C121" s="184"/>
    </row>
    <row r="122" spans="1:13" ht="15">
      <c r="A122" s="84" t="s">
        <v>202</v>
      </c>
      <c r="B122" s="84"/>
      <c r="C122" s="84"/>
      <c r="D122" s="84"/>
      <c r="E122" s="84"/>
      <c r="F122" s="84"/>
      <c r="G122" s="84"/>
      <c r="H122" s="84"/>
      <c r="I122" s="84"/>
      <c r="J122" s="84"/>
      <c r="K122" s="84"/>
      <c r="L122" s="84"/>
      <c r="M122"/>
    </row>
    <row r="123" spans="1:12" ht="14.25" customHeight="1">
      <c r="A123" s="1137" t="s">
        <v>174</v>
      </c>
      <c r="B123" s="1137"/>
      <c r="C123" s="622" t="s">
        <v>194</v>
      </c>
      <c r="D123" s="1137" t="s">
        <v>147</v>
      </c>
      <c r="E123" s="1137"/>
      <c r="F123" s="1137"/>
      <c r="G123" s="1139" t="s">
        <v>148</v>
      </c>
      <c r="H123" s="1139"/>
      <c r="I123" s="1135" t="s">
        <v>149</v>
      </c>
      <c r="J123" s="1135"/>
      <c r="K123" s="1135"/>
      <c r="L123" s="1135"/>
    </row>
    <row r="124" spans="1:14" ht="12" customHeight="1">
      <c r="A124" s="371" t="s">
        <v>195</v>
      </c>
      <c r="B124" s="372" t="s">
        <v>196</v>
      </c>
      <c r="C124" s="623" t="s">
        <v>173</v>
      </c>
      <c r="D124" s="371" t="s">
        <v>151</v>
      </c>
      <c r="E124" s="372" t="s">
        <v>152</v>
      </c>
      <c r="F124" s="372" t="s">
        <v>197</v>
      </c>
      <c r="G124" s="373" t="s">
        <v>153</v>
      </c>
      <c r="H124" s="372" t="s">
        <v>154</v>
      </c>
      <c r="I124" s="374" t="s">
        <v>155</v>
      </c>
      <c r="J124" s="374" t="s">
        <v>198</v>
      </c>
      <c r="K124" s="374" t="s">
        <v>157</v>
      </c>
      <c r="L124" s="311" t="s">
        <v>55</v>
      </c>
      <c r="N124" s="564" t="str">
        <f aca="true" t="shared" si="43" ref="N124:N133">K124</f>
        <v>kPa</v>
      </c>
    </row>
    <row r="125" spans="1:14" ht="15">
      <c r="A125" s="402">
        <v>5000</v>
      </c>
      <c r="B125" s="403" t="s">
        <v>203</v>
      </c>
      <c r="C125" s="404">
        <f aca="true" t="shared" si="44" ref="C125:C133">L125</f>
        <v>843.0727481546201</v>
      </c>
      <c r="D125" s="405">
        <f>A125</f>
        <v>5000</v>
      </c>
      <c r="E125" s="624">
        <f>D125*Conversions!$A$40</f>
        <v>1523.99999768352</v>
      </c>
      <c r="F125" s="379">
        <f>E125/10</f>
        <v>152.399999768352</v>
      </c>
      <c r="G125" s="380">
        <f>L125*(Conversions!$A$67)</f>
        <v>24.89602254401717</v>
      </c>
      <c r="H125" s="381">
        <f>L125*Conversions!$B$67</f>
        <v>632.356564122883</v>
      </c>
      <c r="I125" s="382">
        <f>L125*Conversions!$C$67</f>
        <v>12.227779034670906</v>
      </c>
      <c r="J125" s="389">
        <f>L125*Conversions!$D$67</f>
        <v>0.8597553127739147</v>
      </c>
      <c r="K125" s="406">
        <f>L125/100</f>
        <v>8.430727481546201</v>
      </c>
      <c r="L125" s="385">
        <f aca="true" t="shared" si="45" ref="L125:L133">O97</f>
        <v>843.0727481546201</v>
      </c>
      <c r="N125" s="619">
        <f t="shared" si="43"/>
        <v>8.430727481546201</v>
      </c>
    </row>
    <row r="126" spans="1:14" ht="15">
      <c r="A126" s="402">
        <v>10000</v>
      </c>
      <c r="B126" s="403" t="s">
        <v>203</v>
      </c>
      <c r="C126" s="404">
        <f t="shared" si="44"/>
        <v>796.8095164488492</v>
      </c>
      <c r="D126" s="405">
        <f aca="true" t="shared" si="46" ref="D126:D133">A126</f>
        <v>10000</v>
      </c>
      <c r="E126" s="624">
        <f>D126*Conversions!$A$40</f>
        <v>3047.99999536704</v>
      </c>
      <c r="F126" s="379">
        <f aca="true" t="shared" si="47" ref="F126:F133">E126/10</f>
        <v>304.799999536704</v>
      </c>
      <c r="G126" s="380">
        <f>L126*(Conversions!$A$67)</f>
        <v>23.529864686315044</v>
      </c>
      <c r="H126" s="381">
        <f>L126*Conversions!$B$67</f>
        <v>597.6562867023197</v>
      </c>
      <c r="I126" s="382">
        <f>L126*Conversions!$C$67</f>
        <v>11.556785249180644</v>
      </c>
      <c r="J126" s="383">
        <f>L126*Conversions!$D$67</f>
        <v>0.8125766329598777</v>
      </c>
      <c r="K126" s="407">
        <f aca="true" t="shared" si="48" ref="K126:K133">L126/100</f>
        <v>7.968095164488492</v>
      </c>
      <c r="L126" s="385">
        <f t="shared" si="45"/>
        <v>796.8095164488492</v>
      </c>
      <c r="N126" s="619">
        <f t="shared" si="43"/>
        <v>7.968095164488492</v>
      </c>
    </row>
    <row r="127" spans="1:14" ht="15">
      <c r="A127" s="402">
        <v>18000</v>
      </c>
      <c r="B127" s="408" t="s">
        <v>200</v>
      </c>
      <c r="C127" s="409">
        <f t="shared" si="44"/>
        <v>696.8165891625348</v>
      </c>
      <c r="D127" s="410">
        <f t="shared" si="46"/>
        <v>18000</v>
      </c>
      <c r="E127" s="624">
        <f>D127*Conversions!$A$40</f>
        <v>5486.399991660672</v>
      </c>
      <c r="F127" s="379">
        <f t="shared" si="47"/>
        <v>548.6399991660671</v>
      </c>
      <c r="G127" s="380">
        <f>L127*(Conversions!$A$67)</f>
        <v>20.577063546186398</v>
      </c>
      <c r="H127" s="381">
        <f>L127*Conversions!$B$67</f>
        <v>522.655423403431</v>
      </c>
      <c r="I127" s="382">
        <f>L127*Conversions!$C$67</f>
        <v>10.106505397811606</v>
      </c>
      <c r="J127" s="389">
        <f>L127*Conversions!$D$67</f>
        <v>0.7106050644773229</v>
      </c>
      <c r="K127" s="406">
        <f t="shared" si="48"/>
        <v>6.968165891625348</v>
      </c>
      <c r="L127" s="385">
        <f t="shared" si="45"/>
        <v>696.8165891625348</v>
      </c>
      <c r="N127" s="619">
        <f t="shared" si="43"/>
        <v>6.968165891625348</v>
      </c>
    </row>
    <row r="128" spans="1:14" ht="15">
      <c r="A128" s="402">
        <v>24000</v>
      </c>
      <c r="B128" s="408" t="s">
        <v>182</v>
      </c>
      <c r="C128" s="409">
        <f t="shared" si="44"/>
        <v>505.9984405740328</v>
      </c>
      <c r="D128" s="410">
        <f t="shared" si="46"/>
        <v>24000</v>
      </c>
      <c r="E128" s="624">
        <f>D128*Conversions!$A$40</f>
        <v>7315.199988880896</v>
      </c>
      <c r="F128" s="379">
        <f t="shared" si="47"/>
        <v>731.5199988880896</v>
      </c>
      <c r="G128" s="380">
        <f>L128*(Conversions!$A$67)</f>
        <v>14.942184540234116</v>
      </c>
      <c r="H128" s="381">
        <f>L128*Conversions!$B$67</f>
        <v>379.5300417826449</v>
      </c>
      <c r="I128" s="382">
        <f>L128*Conversions!$C$67</f>
        <v>7.338912492154933</v>
      </c>
      <c r="J128" s="389">
        <f>L128*Conversions!$D$67</f>
        <v>0.5160110423342198</v>
      </c>
      <c r="K128" s="406">
        <f t="shared" si="48"/>
        <v>5.0599844057403285</v>
      </c>
      <c r="L128" s="385">
        <f t="shared" si="45"/>
        <v>505.9984405740328</v>
      </c>
      <c r="N128" s="619">
        <f t="shared" si="43"/>
        <v>5.0599844057403285</v>
      </c>
    </row>
    <row r="129" spans="1:14" ht="15">
      <c r="A129" s="402">
        <v>30000</v>
      </c>
      <c r="B129" s="408" t="s">
        <v>183</v>
      </c>
      <c r="C129" s="409">
        <f t="shared" si="44"/>
        <v>300.89586753403194</v>
      </c>
      <c r="D129" s="411">
        <f t="shared" si="46"/>
        <v>30000</v>
      </c>
      <c r="E129" s="624">
        <f>D129*Conversions!$A$40</f>
        <v>9143.99998610112</v>
      </c>
      <c r="F129" s="379">
        <f t="shared" si="47"/>
        <v>914.399998610112</v>
      </c>
      <c r="G129" s="380">
        <f>L129*(Conversions!$A$67)</f>
        <v>8.885485052062185</v>
      </c>
      <c r="H129" s="381">
        <f>L129*Conversions!$B$67</f>
        <v>225.69046072130695</v>
      </c>
      <c r="I129" s="382">
        <f>L129*Conversions!$C$67</f>
        <v>4.364140803632009</v>
      </c>
      <c r="J129" s="389">
        <f>L129*Conversions!$D$67</f>
        <v>0.3068499382412191</v>
      </c>
      <c r="K129" s="406">
        <f t="shared" si="48"/>
        <v>3.0089586753403195</v>
      </c>
      <c r="L129" s="385">
        <f t="shared" si="45"/>
        <v>300.89586753403194</v>
      </c>
      <c r="N129" s="619">
        <f t="shared" si="43"/>
        <v>3.0089586753403195</v>
      </c>
    </row>
    <row r="130" spans="1:14" ht="15">
      <c r="A130" s="402">
        <v>34000</v>
      </c>
      <c r="B130" s="408" t="s">
        <v>184</v>
      </c>
      <c r="C130" s="409">
        <f t="shared" si="44"/>
        <v>249.99013974536305</v>
      </c>
      <c r="D130" s="410">
        <f t="shared" si="46"/>
        <v>34000</v>
      </c>
      <c r="E130" s="624">
        <f>D130*Conversions!$A$40</f>
        <v>10363.199984247936</v>
      </c>
      <c r="F130" s="379">
        <f t="shared" si="47"/>
        <v>1036.3199984247935</v>
      </c>
      <c r="G130" s="380">
        <f>L130*(Conversions!$A$67)</f>
        <v>7.3822338208720275</v>
      </c>
      <c r="H130" s="381">
        <f>L130*Conversions!$B$67</f>
        <v>187.50802487685755</v>
      </c>
      <c r="I130" s="382">
        <f>L130*Conversions!$C$67</f>
        <v>3.6258130705135505</v>
      </c>
      <c r="J130" s="389">
        <f>L130*Conversions!$D$67</f>
        <v>0.25493689750691706</v>
      </c>
      <c r="K130" s="406">
        <f t="shared" si="48"/>
        <v>2.4999013974536304</v>
      </c>
      <c r="L130" s="385">
        <f t="shared" si="45"/>
        <v>249.99013974536305</v>
      </c>
      <c r="N130" s="619">
        <f t="shared" si="43"/>
        <v>2.4999013974536304</v>
      </c>
    </row>
    <row r="131" spans="1:14" ht="15">
      <c r="A131" s="402">
        <v>39000</v>
      </c>
      <c r="B131" s="408" t="s">
        <v>185</v>
      </c>
      <c r="C131" s="409">
        <f t="shared" si="44"/>
        <v>196.40048459666258</v>
      </c>
      <c r="D131" s="410">
        <f t="shared" si="46"/>
        <v>39000</v>
      </c>
      <c r="E131" s="624">
        <f>D131*Conversions!$A$40</f>
        <v>11887.199981931457</v>
      </c>
      <c r="F131" s="379">
        <f t="shared" si="47"/>
        <v>1188.7199981931458</v>
      </c>
      <c r="G131" s="380">
        <f>L131*(Conversions!$A$67)</f>
        <v>5.799725946399176</v>
      </c>
      <c r="H131" s="381">
        <f>L131*Conversions!$B$67</f>
        <v>147.31247796048712</v>
      </c>
      <c r="I131" s="382">
        <f>L131*Conversions!$C$67</f>
        <v>2.848558126456998</v>
      </c>
      <c r="J131" s="389">
        <f>L131*Conversions!$D$67</f>
        <v>0.20028682036390968</v>
      </c>
      <c r="K131" s="406">
        <f t="shared" si="48"/>
        <v>1.9640048459666257</v>
      </c>
      <c r="L131" s="385">
        <f t="shared" si="45"/>
        <v>196.40048459666258</v>
      </c>
      <c r="N131" s="620">
        <f t="shared" si="43"/>
        <v>1.9640048459666257</v>
      </c>
    </row>
    <row r="132" spans="1:14" ht="15">
      <c r="A132" s="402">
        <v>45000</v>
      </c>
      <c r="B132" s="408" t="s">
        <v>187</v>
      </c>
      <c r="C132" s="409">
        <f t="shared" si="44"/>
        <v>147.4765284508262</v>
      </c>
      <c r="D132" s="410">
        <f t="shared" si="46"/>
        <v>45000</v>
      </c>
      <c r="E132" s="624">
        <f>D132*Conversions!$A$40</f>
        <v>13715.99997915168</v>
      </c>
      <c r="F132" s="379">
        <f t="shared" si="47"/>
        <v>1371.599997915168</v>
      </c>
      <c r="G132" s="380">
        <f>L132*(Conversions!$A$67)</f>
        <v>4.354996629960798</v>
      </c>
      <c r="H132" s="381">
        <f>L132*Conversions!$B$67</f>
        <v>110.61649308919607</v>
      </c>
      <c r="I132" s="382">
        <f>L132*Conversions!$C$67</f>
        <v>2.1389736611037176</v>
      </c>
      <c r="J132" s="389">
        <f>L132*Conversions!$D$67</f>
        <v>0.1503947661961399</v>
      </c>
      <c r="K132" s="406">
        <f t="shared" si="48"/>
        <v>1.4747652845082622</v>
      </c>
      <c r="L132" s="385">
        <f t="shared" si="45"/>
        <v>147.4765284508262</v>
      </c>
      <c r="N132" s="620">
        <f t="shared" si="43"/>
        <v>1.4747652845082622</v>
      </c>
    </row>
    <row r="133" spans="1:14" ht="15">
      <c r="A133" s="412">
        <v>63000</v>
      </c>
      <c r="B133" s="413" t="s">
        <v>188</v>
      </c>
      <c r="C133" s="414">
        <f t="shared" si="44"/>
        <v>62.08642014932096</v>
      </c>
      <c r="D133" s="415">
        <f t="shared" si="46"/>
        <v>63000</v>
      </c>
      <c r="E133" s="625">
        <f>D133*Conversions!$A$40</f>
        <v>19202.399970812352</v>
      </c>
      <c r="F133" s="394">
        <f t="shared" si="47"/>
        <v>1920.2399970812353</v>
      </c>
      <c r="G133" s="395">
        <f>L133*(Conversions!$A$67)</f>
        <v>1.833418194453764</v>
      </c>
      <c r="H133" s="396">
        <f>L133*Conversions!$B$67</f>
        <v>46.56864477027775</v>
      </c>
      <c r="I133" s="397">
        <f>L133*Conversions!$C$67</f>
        <v>0.9004905309789497</v>
      </c>
      <c r="J133" s="398">
        <f>L133*Conversions!$D$67</f>
        <v>0.06331497452780001</v>
      </c>
      <c r="K133" s="416">
        <f t="shared" si="48"/>
        <v>0.6208642014932095</v>
      </c>
      <c r="L133" s="400">
        <f t="shared" si="45"/>
        <v>62.08642014932096</v>
      </c>
      <c r="N133" s="620">
        <f t="shared" si="43"/>
        <v>0.6208642014932095</v>
      </c>
    </row>
    <row r="135" ht="15">
      <c r="M135"/>
    </row>
    <row r="136" spans="13:15" ht="15">
      <c r="M136" s="626">
        <v>0</v>
      </c>
      <c r="N136" s="515">
        <v>1</v>
      </c>
      <c r="O136" s="420" t="s">
        <v>323</v>
      </c>
    </row>
    <row r="137" spans="13:15" ht="15">
      <c r="M137" s="627">
        <v>1</v>
      </c>
      <c r="N137" s="521">
        <v>2</v>
      </c>
      <c r="O137" s="420" t="s">
        <v>324</v>
      </c>
    </row>
    <row r="138" spans="13:14" ht="15">
      <c r="M138" s="628">
        <v>2</v>
      </c>
      <c r="N138" s="522">
        <v>1</v>
      </c>
    </row>
    <row r="139" spans="1:14" ht="15">
      <c r="A139" s="3" t="s">
        <v>325</v>
      </c>
      <c r="M139" s="628">
        <v>3</v>
      </c>
      <c r="N139" s="522">
        <v>1</v>
      </c>
    </row>
    <row r="140" spans="13:14" ht="15">
      <c r="M140" s="629">
        <v>4</v>
      </c>
      <c r="N140" s="526">
        <v>2</v>
      </c>
    </row>
    <row r="141" spans="1:14" ht="14.25" customHeight="1">
      <c r="A141" s="1143" t="s">
        <v>147</v>
      </c>
      <c r="B141" s="1143"/>
      <c r="C141" s="1143" t="s">
        <v>148</v>
      </c>
      <c r="D141" s="1143"/>
      <c r="E141" s="1143" t="s">
        <v>149</v>
      </c>
      <c r="F141" s="1143"/>
      <c r="G141" s="1143"/>
      <c r="H141" s="1143"/>
      <c r="M141" s="630">
        <v>5</v>
      </c>
      <c r="N141" s="528">
        <v>1</v>
      </c>
    </row>
    <row r="142" spans="1:14" ht="15">
      <c r="A142" s="552" t="s">
        <v>151</v>
      </c>
      <c r="B142" s="553" t="s">
        <v>152</v>
      </c>
      <c r="C142" s="552" t="s">
        <v>153</v>
      </c>
      <c r="D142" s="554" t="s">
        <v>154</v>
      </c>
      <c r="E142" s="552" t="s">
        <v>155</v>
      </c>
      <c r="F142" s="555" t="s">
        <v>156</v>
      </c>
      <c r="G142" s="555" t="s">
        <v>157</v>
      </c>
      <c r="H142" s="554" t="s">
        <v>55</v>
      </c>
      <c r="K142" s="631"/>
      <c r="M142" s="632">
        <v>6</v>
      </c>
      <c r="N142" s="533">
        <v>1</v>
      </c>
    </row>
    <row r="143" spans="1:12" ht="15">
      <c r="A143" s="633">
        <v>0</v>
      </c>
      <c r="B143" s="634">
        <v>0</v>
      </c>
      <c r="C143" s="635">
        <f>C$18*((D$18/(D$18+(E$18*(A143-B$18))))^((G$18*H$18)/(F$18*E$18)))</f>
        <v>29.92126</v>
      </c>
      <c r="D143" s="270">
        <f>C143*Conversions!$B$53</f>
        <v>760</v>
      </c>
      <c r="E143" s="271">
        <f>C143*Conversions!$B$59</f>
        <v>14.696</v>
      </c>
      <c r="F143" s="272">
        <f>H143*Conversions!$D$67</f>
        <v>1.0333000000000003</v>
      </c>
      <c r="G143" s="560">
        <f>H143/100</f>
        <v>10.1325</v>
      </c>
      <c r="H143" s="274">
        <f>C143*Conversions!$B$50</f>
        <v>1013.2500000000001</v>
      </c>
      <c r="J143" s="636"/>
      <c r="K143" s="637">
        <v>0</v>
      </c>
      <c r="L143" s="638" t="s">
        <v>323</v>
      </c>
    </row>
    <row r="144" spans="1:11" ht="15">
      <c r="A144" s="639">
        <f>B144*(1/0.3)</f>
        <v>333.33333333333337</v>
      </c>
      <c r="B144" s="640">
        <f>B143+100</f>
        <v>100</v>
      </c>
      <c r="C144" s="641">
        <f>C$18*((D$18/(D$18+(E$18*(A144-B$18))))^((G$18*H$18)/(F$18*E$18)))</f>
        <v>29.56258960288627</v>
      </c>
      <c r="D144" s="278">
        <f>C144*Conversions!$B$53</f>
        <v>750.8897719612598</v>
      </c>
      <c r="E144" s="279">
        <f>C144*Conversions!$B$59</f>
        <v>14.51983695887194</v>
      </c>
      <c r="F144" s="280">
        <f>H144*Conversions!$D$67</f>
        <v>1.0209136860099606</v>
      </c>
      <c r="G144" s="281">
        <f>H144/100</f>
        <v>10.011040282101929</v>
      </c>
      <c r="H144" s="282">
        <f>C144*Conversions!$B$50</f>
        <v>1001.1040282101928</v>
      </c>
      <c r="I144" s="79" t="str">
        <f>CONCATENATE("L",M136,"/F",N136)</f>
        <v>L0/F1</v>
      </c>
      <c r="J144" s="642">
        <v>0</v>
      </c>
      <c r="K144" s="643">
        <f>K143</f>
        <v>0</v>
      </c>
    </row>
    <row r="145" spans="1:11" ht="15">
      <c r="A145" s="639">
        <f aca="true" t="shared" si="49" ref="A145:A208">B145*(1/0.3)</f>
        <v>666.6666666666667</v>
      </c>
      <c r="B145" s="640">
        <f aca="true" t="shared" si="50" ref="B145:B153">B144+100</f>
        <v>200</v>
      </c>
      <c r="C145" s="641">
        <f aca="true" t="shared" si="51" ref="C145:C153">C$18*((D$18/(D$18+(E$18*(A145-B$18))))^((G$18*H$18)/(F$18*E$18)))</f>
        <v>29.20740858254722</v>
      </c>
      <c r="D145" s="278">
        <f>C145*Conversions!$B$53</f>
        <v>741.8681740921301</v>
      </c>
      <c r="E145" s="279">
        <f>C145*Conversions!$B$59</f>
        <v>14.3453877453394</v>
      </c>
      <c r="F145" s="280">
        <f>H145*Conversions!$D$67</f>
        <v>1.0086478740649976</v>
      </c>
      <c r="G145" s="281">
        <f aca="true" t="shared" si="52" ref="G145:G208">H145/100</f>
        <v>9.89076220261646</v>
      </c>
      <c r="H145" s="282">
        <f>C145*Conversions!$B$50</f>
        <v>989.0762202616459</v>
      </c>
      <c r="J145" s="642">
        <v>36089</v>
      </c>
      <c r="K145">
        <f aca="true" t="shared" si="53" ref="K145:K208">K144</f>
        <v>0</v>
      </c>
    </row>
    <row r="146" spans="1:11" ht="15">
      <c r="A146" s="639">
        <f t="shared" si="49"/>
        <v>1000</v>
      </c>
      <c r="B146" s="640">
        <f t="shared" si="50"/>
        <v>300</v>
      </c>
      <c r="C146" s="278">
        <f t="shared" si="51"/>
        <v>28.855690908981558</v>
      </c>
      <c r="D146" s="278">
        <f>C146*Conversions!$B$53</f>
        <v>732.9345452305814</v>
      </c>
      <c r="E146" s="279">
        <f>C146*Conversions!$B$59</f>
        <v>14.172639574616609</v>
      </c>
      <c r="F146" s="280">
        <f>H146*Conversions!$D$67</f>
        <v>0.9965016652457367</v>
      </c>
      <c r="G146" s="281">
        <f t="shared" si="52"/>
        <v>9.771656946774822</v>
      </c>
      <c r="H146" s="282">
        <f>C146*Conversions!$B$50</f>
        <v>977.1656946774823</v>
      </c>
      <c r="J146" s="517">
        <v>65617</v>
      </c>
      <c r="K146">
        <f t="shared" si="53"/>
        <v>0</v>
      </c>
    </row>
    <row r="147" spans="1:11" ht="15">
      <c r="A147" s="639">
        <f t="shared" si="49"/>
        <v>1333.3333333333335</v>
      </c>
      <c r="B147" s="640">
        <f t="shared" si="50"/>
        <v>400</v>
      </c>
      <c r="C147" s="278">
        <f t="shared" si="51"/>
        <v>28.507410687035957</v>
      </c>
      <c r="D147" s="278">
        <f>C147*Conversions!$B$53</f>
        <v>724.0882276397227</v>
      </c>
      <c r="E147" s="279">
        <f>C147*Conversions!$B$59</f>
        <v>14.001579728149164</v>
      </c>
      <c r="F147" s="280">
        <f>H147*Conversions!$D$67</f>
        <v>0.9844741652896389</v>
      </c>
      <c r="G147" s="281">
        <f t="shared" si="52"/>
        <v>9.653715745473013</v>
      </c>
      <c r="H147" s="282">
        <f>C147*Conversions!$B$50</f>
        <v>965.3715745473013</v>
      </c>
      <c r="J147" s="517">
        <v>104987</v>
      </c>
      <c r="K147">
        <f t="shared" si="53"/>
        <v>0</v>
      </c>
    </row>
    <row r="148" spans="1:11" ht="15">
      <c r="A148" s="639">
        <f t="shared" si="49"/>
        <v>1666.6666666666667</v>
      </c>
      <c r="B148" s="640">
        <f t="shared" si="50"/>
        <v>500</v>
      </c>
      <c r="C148" s="278">
        <f t="shared" si="51"/>
        <v>28.16254215601567</v>
      </c>
      <c r="D148" s="278">
        <f>C148*Conversions!$B$53</f>
        <v>715.3285669979109</v>
      </c>
      <c r="E148" s="279">
        <f>C148*Conversions!$B$59</f>
        <v>13.83219555342276</v>
      </c>
      <c r="F148" s="280">
        <f>H148*Conversions!$D$67</f>
        <v>0.9725644845775545</v>
      </c>
      <c r="G148" s="281">
        <f t="shared" si="52"/>
        <v>9.536929875139911</v>
      </c>
      <c r="H148" s="282">
        <f>C148*Conversions!$B$50</f>
        <v>953.692987513991</v>
      </c>
      <c r="J148" s="517">
        <v>154199</v>
      </c>
      <c r="K148">
        <f t="shared" si="53"/>
        <v>0</v>
      </c>
    </row>
    <row r="149" spans="1:11" ht="15">
      <c r="A149" s="639">
        <f t="shared" si="49"/>
        <v>2000</v>
      </c>
      <c r="B149" s="640">
        <f t="shared" si="50"/>
        <v>600</v>
      </c>
      <c r="C149" s="278">
        <f t="shared" si="51"/>
        <v>27.821059689294888</v>
      </c>
      <c r="D149" s="278">
        <f>C149*Conversions!$B$53</f>
        <v>706.6549123888539</v>
      </c>
      <c r="E149" s="279">
        <f>C149*Conversions!$B$59</f>
        <v>13.664474463771835</v>
      </c>
      <c r="F149" s="280">
        <f>H149*Conversions!$D$67</f>
        <v>0.9607717381202668</v>
      </c>
      <c r="G149" s="281">
        <f t="shared" si="52"/>
        <v>9.421290657605343</v>
      </c>
      <c r="H149" s="282">
        <f>C149*Conversions!$B$50</f>
        <v>942.1290657605343</v>
      </c>
      <c r="J149" s="517">
        <v>167323</v>
      </c>
      <c r="K149">
        <f t="shared" si="53"/>
        <v>0</v>
      </c>
    </row>
    <row r="150" spans="1:11" ht="15">
      <c r="A150" s="639">
        <f t="shared" si="49"/>
        <v>2333.3333333333335</v>
      </c>
      <c r="B150" s="640">
        <f t="shared" si="50"/>
        <v>700</v>
      </c>
      <c r="C150" s="278">
        <f t="shared" si="51"/>
        <v>27.482937793927107</v>
      </c>
      <c r="D150" s="278">
        <f>C150*Conversions!$B$53</f>
        <v>698.0666162917138</v>
      </c>
      <c r="E150" s="279">
        <f>C150*Conversions!$B$59</f>
        <v>13.49840393818819</v>
      </c>
      <c r="F150" s="280">
        <f>H150*Conversions!$D$67</f>
        <v>0.9490950455450368</v>
      </c>
      <c r="G150" s="281">
        <f t="shared" si="52"/>
        <v>9.306789459968144</v>
      </c>
      <c r="H150" s="282">
        <f>C150*Conversions!$B$50</f>
        <v>930.6789459968144</v>
      </c>
      <c r="J150" s="506">
        <v>232940</v>
      </c>
      <c r="K150">
        <f t="shared" si="53"/>
        <v>0</v>
      </c>
    </row>
    <row r="151" spans="1:11" ht="15">
      <c r="A151" s="639">
        <f t="shared" si="49"/>
        <v>2666.666666666667</v>
      </c>
      <c r="B151" s="640">
        <f t="shared" si="50"/>
        <v>800</v>
      </c>
      <c r="C151" s="278">
        <f t="shared" si="51"/>
        <v>27.148151110256368</v>
      </c>
      <c r="D151" s="278">
        <f>C151*Conversions!$B$53</f>
        <v>689.5630345712326</v>
      </c>
      <c r="E151" s="279">
        <f>C151*Conversions!$B$59</f>
        <v>13.333971521130046</v>
      </c>
      <c r="F151" s="280">
        <f>H151*Conversions!$D$67</f>
        <v>0.9375335310821774</v>
      </c>
      <c r="G151" s="281">
        <f t="shared" si="52"/>
        <v>9.193417694464493</v>
      </c>
      <c r="H151" s="282">
        <f>C151*Conversions!$B$50</f>
        <v>919.3417694464493</v>
      </c>
      <c r="J151" s="535">
        <v>280001</v>
      </c>
      <c r="K151">
        <f t="shared" si="53"/>
        <v>0</v>
      </c>
    </row>
    <row r="152" spans="1:11" ht="15">
      <c r="A152" s="639">
        <f t="shared" si="49"/>
        <v>3000</v>
      </c>
      <c r="B152" s="640">
        <f t="shared" si="50"/>
        <v>900</v>
      </c>
      <c r="C152" s="278">
        <f t="shared" si="51"/>
        <v>26.816674411528286</v>
      </c>
      <c r="D152" s="278">
        <f>C152*Conversions!$B$53</f>
        <v>681.1435264678526</v>
      </c>
      <c r="E152" s="279">
        <f>C152*Conversions!$B$59</f>
        <v>13.171164822331</v>
      </c>
      <c r="F152" s="280">
        <f>H152*Conversions!$D$67</f>
        <v>0.9260863235516213</v>
      </c>
      <c r="G152" s="281">
        <f t="shared" si="52"/>
        <v>9.081166818336206</v>
      </c>
      <c r="H152" s="282">
        <f>C152*Conversions!$B$50</f>
        <v>908.1166818336205</v>
      </c>
      <c r="K152">
        <f t="shared" si="53"/>
        <v>0</v>
      </c>
    </row>
    <row r="153" spans="1:11" ht="15">
      <c r="A153" s="639">
        <f t="shared" si="49"/>
        <v>3333.3333333333335</v>
      </c>
      <c r="B153" s="640">
        <f t="shared" si="50"/>
        <v>1000</v>
      </c>
      <c r="C153" s="278">
        <f t="shared" si="51"/>
        <v>26.48848260350118</v>
      </c>
      <c r="D153" s="278">
        <f>C153*Conversions!$B$53</f>
        <v>672.8074545878382</v>
      </c>
      <c r="E153" s="279">
        <f>C153*Conversions!$B$59</f>
        <v>13.009971516609037</v>
      </c>
      <c r="F153" s="280">
        <f>H153*Conversions!$D$67</f>
        <v>0.9147525563494912</v>
      </c>
      <c r="G153" s="281">
        <f t="shared" si="52"/>
        <v>8.97002833369904</v>
      </c>
      <c r="H153" s="282">
        <f>C153*Conversions!$B$50</f>
        <v>897.0028333699039</v>
      </c>
      <c r="K153">
        <f t="shared" si="53"/>
        <v>0</v>
      </c>
    </row>
    <row r="154" spans="1:11" ht="15">
      <c r="A154" s="639">
        <f t="shared" si="49"/>
        <v>3666.666666666667</v>
      </c>
      <c r="B154" s="640">
        <f aca="true" t="shared" si="54" ref="B154:B217">B153+100</f>
        <v>1100</v>
      </c>
      <c r="C154" s="278">
        <f aca="true" t="shared" si="55" ref="C154:C217">C$18*((D$18/(D$18+(E$18*(A154-B$18))))^((G$18*H$18)/(F$18*E$18)))</f>
        <v>26.163550724057938</v>
      </c>
      <c r="D154" s="278">
        <f>C154*Conversions!$B$53</f>
        <v>664.5541848934181</v>
      </c>
      <c r="E154" s="279">
        <f>C154*Conversions!$B$59</f>
        <v>12.850379343675883</v>
      </c>
      <c r="F154" s="280">
        <f>H154*Conversions!$D$67</f>
        <v>0.903531367434696</v>
      </c>
      <c r="G154" s="281">
        <f t="shared" si="52"/>
        <v>8.85999378741126</v>
      </c>
      <c r="H154" s="282">
        <f>C154*Conversions!$B$50</f>
        <v>885.9993787411261</v>
      </c>
      <c r="K154">
        <f t="shared" si="53"/>
        <v>0</v>
      </c>
    </row>
    <row r="155" spans="1:11" ht="15">
      <c r="A155" s="639">
        <f t="shared" si="49"/>
        <v>4000</v>
      </c>
      <c r="B155" s="640">
        <f t="shared" si="54"/>
        <v>1200</v>
      </c>
      <c r="C155" s="278">
        <f t="shared" si="55"/>
        <v>25.84185394281768</v>
      </c>
      <c r="D155" s="278">
        <f>C155*Conversions!$B$53</f>
        <v>656.3830866929212</v>
      </c>
      <c r="E155" s="279">
        <f>C155*Conversions!$B$59</f>
        <v>12.692376107946277</v>
      </c>
      <c r="F155" s="280">
        <f>H155*Conversions!$D$67</f>
        <v>0.8924218993155205</v>
      </c>
      <c r="G155" s="281">
        <f t="shared" si="52"/>
        <v>8.751054770942137</v>
      </c>
      <c r="H155" s="282">
        <f>C155*Conversions!$B$50</f>
        <v>875.1054770942137</v>
      </c>
      <c r="K155">
        <f t="shared" si="53"/>
        <v>0</v>
      </c>
    </row>
    <row r="156" spans="1:11" ht="15">
      <c r="A156" s="639">
        <f t="shared" si="49"/>
        <v>4333.333333333334</v>
      </c>
      <c r="B156" s="640">
        <f t="shared" si="54"/>
        <v>1300</v>
      </c>
      <c r="C156" s="278">
        <f t="shared" si="55"/>
        <v>25.523367560747825</v>
      </c>
      <c r="D156" s="278">
        <f>C156*Conversions!$B$53</f>
        <v>648.2935326309236</v>
      </c>
      <c r="E156" s="279">
        <f>C156*Conversions!$B$59</f>
        <v>12.535949678347437</v>
      </c>
      <c r="F156" s="280">
        <f>H156*Conversions!$D$67</f>
        <v>0.8814232990362283</v>
      </c>
      <c r="G156" s="281">
        <f t="shared" si="52"/>
        <v>8.64320292024057</v>
      </c>
      <c r="H156" s="282">
        <f>C156*Conversions!$B$50</f>
        <v>864.320292024057</v>
      </c>
      <c r="K156">
        <f t="shared" si="53"/>
        <v>0</v>
      </c>
    </row>
    <row r="157" spans="1:11" ht="15">
      <c r="A157" s="639">
        <f t="shared" si="49"/>
        <v>4666.666666666667</v>
      </c>
      <c r="B157" s="640">
        <f t="shared" si="54"/>
        <v>1400</v>
      </c>
      <c r="C157" s="278">
        <f t="shared" si="55"/>
        <v>25.2080670097764</v>
      </c>
      <c r="D157" s="278">
        <f>C157*Conversions!$B$53</f>
        <v>640.2848986784</v>
      </c>
      <c r="E157" s="279">
        <f>C157*Conversions!$B$59</f>
        <v>12.381087988128641</v>
      </c>
      <c r="F157" s="280">
        <f>H157*Conversions!$D$67</f>
        <v>0.8705347181636722</v>
      </c>
      <c r="G157" s="281">
        <f t="shared" si="52"/>
        <v>8.5364299156038</v>
      </c>
      <c r="H157" s="282">
        <f>C157*Conversions!$B$50</f>
        <v>853.6429915603801</v>
      </c>
      <c r="K157">
        <f t="shared" si="53"/>
        <v>0</v>
      </c>
    </row>
    <row r="158" spans="1:11" ht="15">
      <c r="A158" s="639">
        <f t="shared" si="49"/>
        <v>5000</v>
      </c>
      <c r="B158" s="640">
        <f t="shared" si="54"/>
        <v>1500</v>
      </c>
      <c r="C158" s="278">
        <f t="shared" si="55"/>
        <v>24.895927852404544</v>
      </c>
      <c r="D158" s="278">
        <f>C158*Conversions!$B$53</f>
        <v>632.356564122883</v>
      </c>
      <c r="E158" s="279">
        <f>C158*Conversions!$B$59</f>
        <v>12.227779034670904</v>
      </c>
      <c r="F158" s="280">
        <f>H158*Conversions!$D$67</f>
        <v>0.8597553127739147</v>
      </c>
      <c r="G158" s="281">
        <f t="shared" si="52"/>
        <v>8.430727481546201</v>
      </c>
      <c r="H158" s="282">
        <f>C158*Conversions!$B$50</f>
        <v>843.0727481546201</v>
      </c>
      <c r="K158">
        <f t="shared" si="53"/>
        <v>0</v>
      </c>
    </row>
    <row r="159" spans="1:11" ht="15">
      <c r="A159" s="639">
        <f t="shared" si="49"/>
        <v>5333.333333333334</v>
      </c>
      <c r="B159" s="640">
        <f t="shared" si="54"/>
        <v>1600</v>
      </c>
      <c r="C159" s="278">
        <f t="shared" si="55"/>
        <v>24.586925781319245</v>
      </c>
      <c r="D159" s="278">
        <f>C159*Conversions!$B$53</f>
        <v>624.5079115586251</v>
      </c>
      <c r="E159" s="279">
        <f>C159*Conversions!$B$59</f>
        <v>12.076010879296781</v>
      </c>
      <c r="F159" s="280">
        <f>H159*Conversions!$D$67</f>
        <v>0.8490842434388519</v>
      </c>
      <c r="G159" s="281">
        <f t="shared" si="52"/>
        <v>8.326087386668117</v>
      </c>
      <c r="H159" s="282">
        <f>C159*Conversions!$B$50</f>
        <v>832.6087386668117</v>
      </c>
      <c r="K159">
        <f t="shared" si="53"/>
        <v>0</v>
      </c>
    </row>
    <row r="160" spans="1:11" ht="15">
      <c r="A160" s="639">
        <f t="shared" si="49"/>
        <v>5666.666666666667</v>
      </c>
      <c r="B160" s="640">
        <f t="shared" si="54"/>
        <v>1700</v>
      </c>
      <c r="C160" s="278">
        <f t="shared" si="55"/>
        <v>24.281036619006265</v>
      </c>
      <c r="D160" s="278">
        <f>C160*Conversions!$B$53</f>
        <v>616.7383268767679</v>
      </c>
      <c r="E160" s="279">
        <f>C160*Conversions!$B$59</f>
        <v>11.92577164708024</v>
      </c>
      <c r="F160" s="280">
        <f>H160*Conversions!$D$67</f>
        <v>0.838520675212848</v>
      </c>
      <c r="G160" s="281">
        <f t="shared" si="52"/>
        <v>8.222501443524804</v>
      </c>
      <c r="H160" s="282">
        <f>C160*Conversions!$B$50</f>
        <v>822.2501443524804</v>
      </c>
      <c r="K160">
        <f t="shared" si="53"/>
        <v>0</v>
      </c>
    </row>
    <row r="161" spans="1:11" ht="15">
      <c r="A161" s="639">
        <f t="shared" si="49"/>
        <v>6000</v>
      </c>
      <c r="B161" s="640">
        <f t="shared" si="54"/>
        <v>1800</v>
      </c>
      <c r="C161" s="278">
        <f t="shared" si="55"/>
        <v>23.978236317363535</v>
      </c>
      <c r="D161" s="278">
        <f>C161*Conversions!$B$53</f>
        <v>609.0471992555223</v>
      </c>
      <c r="E161" s="279">
        <f>C161*Conversions!$B$59</f>
        <v>11.777049526656782</v>
      </c>
      <c r="F161" s="280">
        <f>H161*Conversions!$D$67</f>
        <v>0.8280637776193833</v>
      </c>
      <c r="G161" s="281">
        <f t="shared" si="52"/>
        <v>8.1199615084955</v>
      </c>
      <c r="H161" s="282">
        <f>C161*Conversions!$B$50</f>
        <v>811.99615084955</v>
      </c>
      <c r="K161">
        <f t="shared" si="53"/>
        <v>0</v>
      </c>
    </row>
    <row r="162" spans="1:11" ht="15">
      <c r="A162" s="639">
        <f t="shared" si="49"/>
        <v>6333.333333333334</v>
      </c>
      <c r="B162" s="640">
        <f t="shared" si="54"/>
        <v>1900</v>
      </c>
      <c r="C162" s="278">
        <f t="shared" si="55"/>
        <v>23.678500957314437</v>
      </c>
      <c r="D162" s="278">
        <f>C162*Conversions!$B$53</f>
        <v>601.4339211503451</v>
      </c>
      <c r="E162" s="279">
        <f>C162*Conversions!$B$59</f>
        <v>11.629832770033513</v>
      </c>
      <c r="F162" s="280">
        <f>H162*Conversions!$D$67</f>
        <v>0.8177127246376996</v>
      </c>
      <c r="G162" s="281">
        <f t="shared" si="52"/>
        <v>8.018459481652462</v>
      </c>
      <c r="H162" s="282">
        <f>C162*Conversions!$B$50</f>
        <v>801.8459481652462</v>
      </c>
      <c r="K162">
        <f t="shared" si="53"/>
        <v>0</v>
      </c>
    </row>
    <row r="163" spans="1:11" ht="15">
      <c r="A163" s="639">
        <f t="shared" si="49"/>
        <v>6666.666666666667</v>
      </c>
      <c r="B163" s="640">
        <f t="shared" si="54"/>
        <v>2000</v>
      </c>
      <c r="C163" s="278">
        <f t="shared" si="55"/>
        <v>23.381806748421518</v>
      </c>
      <c r="D163" s="278">
        <f>C163*Conversions!$B$53</f>
        <v>593.8978882841283</v>
      </c>
      <c r="E163" s="279">
        <f>C163*Conversions!$B$59</f>
        <v>11.484109692399405</v>
      </c>
      <c r="F163" s="280">
        <f>H163*Conversions!$D$67</f>
        <v>0.8074666946894602</v>
      </c>
      <c r="G163" s="281">
        <f t="shared" si="52"/>
        <v>7.917987306630169</v>
      </c>
      <c r="H163" s="282">
        <f>C163*Conversions!$B$50</f>
        <v>791.798730663017</v>
      </c>
      <c r="K163">
        <f t="shared" si="53"/>
        <v>0</v>
      </c>
    </row>
    <row r="164" spans="1:11" ht="15">
      <c r="A164" s="639">
        <f t="shared" si="49"/>
        <v>7000</v>
      </c>
      <c r="B164" s="640">
        <f t="shared" si="54"/>
        <v>2100</v>
      </c>
      <c r="C164" s="278">
        <f t="shared" si="55"/>
        <v>23.088130028500455</v>
      </c>
      <c r="D164" s="278">
        <f>C164*Conversions!$B$53</f>
        <v>586.4384996373932</v>
      </c>
      <c r="E164" s="279">
        <f>C164*Conversions!$B$59</f>
        <v>11.339868671935697</v>
      </c>
      <c r="F164" s="280">
        <f>H164*Conversions!$D$67</f>
        <v>0.797324870625419</v>
      </c>
      <c r="G164" s="281">
        <f t="shared" si="52"/>
        <v>7.818536970494587</v>
      </c>
      <c r="H164" s="282">
        <f>C164*Conversions!$B$50</f>
        <v>781.8536970494587</v>
      </c>
      <c r="K164">
        <f t="shared" si="53"/>
        <v>0</v>
      </c>
    </row>
    <row r="165" spans="1:11" ht="15">
      <c r="A165" s="639">
        <f t="shared" si="49"/>
        <v>7333.333333333334</v>
      </c>
      <c r="B165" s="640">
        <f t="shared" si="54"/>
        <v>2200</v>
      </c>
      <c r="C165" s="278">
        <f t="shared" si="55"/>
        <v>22.797447263234293</v>
      </c>
      <c r="D165" s="278">
        <f>C165*Conversions!$B$53</f>
        <v>579.0551574384923</v>
      </c>
      <c r="E165" s="279">
        <f>C165*Conversions!$B$59</f>
        <v>11.197098149626425</v>
      </c>
      <c r="F165" s="280">
        <f>H165*Conversions!$D$67</f>
        <v>0.7872864397120977</v>
      </c>
      <c r="G165" s="281">
        <f t="shared" si="52"/>
        <v>7.720100503612531</v>
      </c>
      <c r="H165" s="282">
        <f>C165*Conversions!$B$50</f>
        <v>772.0100503612531</v>
      </c>
      <c r="K165">
        <f t="shared" si="53"/>
        <v>0</v>
      </c>
    </row>
    <row r="166" spans="1:11" ht="15">
      <c r="A166" s="639">
        <f t="shared" si="49"/>
        <v>7666.666666666667</v>
      </c>
      <c r="B166" s="640">
        <f t="shared" si="54"/>
        <v>2300</v>
      </c>
      <c r="C166" s="278">
        <f t="shared" si="55"/>
        <v>22.509735045787583</v>
      </c>
      <c r="D166" s="278">
        <f>C166*Conversions!$B$53</f>
        <v>571.7472671538085</v>
      </c>
      <c r="E166" s="279">
        <f>C166*Conversions!$B$59</f>
        <v>11.055786629068907</v>
      </c>
      <c r="F166" s="280">
        <f>H166*Conversions!$D$67</f>
        <v>0.7773505936184611</v>
      </c>
      <c r="G166" s="281">
        <f t="shared" si="52"/>
        <v>7.622669979521006</v>
      </c>
      <c r="H166" s="282">
        <f>C166*Conversions!$B$50</f>
        <v>762.2669979521006</v>
      </c>
      <c r="K166">
        <f t="shared" si="53"/>
        <v>0</v>
      </c>
    </row>
    <row r="167" spans="1:11" ht="15">
      <c r="A167" s="639">
        <f t="shared" si="49"/>
        <v>8000</v>
      </c>
      <c r="B167" s="640">
        <f t="shared" si="54"/>
        <v>2400</v>
      </c>
      <c r="C167" s="278">
        <f t="shared" si="55"/>
        <v>22.224970096421423</v>
      </c>
      <c r="D167" s="278">
        <f>C167*Conversions!$B$53</f>
        <v>564.5142374779766</v>
      </c>
      <c r="E167" s="279">
        <f>C167*Conversions!$B$59</f>
        <v>10.915922676284662</v>
      </c>
      <c r="F167" s="280">
        <f>H167*Conversions!$D$67</f>
        <v>0.7675165284026229</v>
      </c>
      <c r="G167" s="281">
        <f t="shared" si="52"/>
        <v>7.52623751479684</v>
      </c>
      <c r="H167" s="282">
        <f>C167*Conversions!$B$50</f>
        <v>752.623751479684</v>
      </c>
      <c r="K167">
        <f t="shared" si="53"/>
        <v>0</v>
      </c>
    </row>
    <row r="168" spans="1:11" ht="15">
      <c r="A168" s="639">
        <f t="shared" si="49"/>
        <v>8333.333333333334</v>
      </c>
      <c r="B168" s="640">
        <f t="shared" si="54"/>
        <v>2500</v>
      </c>
      <c r="C168" s="278">
        <f t="shared" si="55"/>
        <v>21.943129262107885</v>
      </c>
      <c r="D168" s="278">
        <f>C168*Conversions!$B$53</f>
        <v>557.3554803240904</v>
      </c>
      <c r="E168" s="279">
        <f>C168*Conversions!$B$59</f>
        <v>10.777494919530042</v>
      </c>
      <c r="F168" s="280">
        <f>H168*Conversions!$D$67</f>
        <v>0.7577834444985299</v>
      </c>
      <c r="G168" s="281">
        <f t="shared" si="52"/>
        <v>7.430795268926113</v>
      </c>
      <c r="H168" s="282">
        <f>C168*Conversions!$B$50</f>
        <v>743.0795268926113</v>
      </c>
      <c r="K168">
        <f t="shared" si="53"/>
        <v>0</v>
      </c>
    </row>
    <row r="169" spans="1:11" ht="15">
      <c r="A169" s="639">
        <f t="shared" si="49"/>
        <v>8666.666666666668</v>
      </c>
      <c r="B169" s="640">
        <f t="shared" si="54"/>
        <v>2600</v>
      </c>
      <c r="C169" s="278">
        <f t="shared" si="55"/>
        <v>21.664189516145488</v>
      </c>
      <c r="D169" s="278">
        <f>C169*Conversions!$B$53</f>
        <v>550.2704108139353</v>
      </c>
      <c r="E169" s="279">
        <f>C169*Conversions!$B$59</f>
        <v>10.64049204910736</v>
      </c>
      <c r="F169" s="280">
        <f>H169*Conversions!$D$67</f>
        <v>0.7481505467026837</v>
      </c>
      <c r="G169" s="281">
        <f t="shared" si="52"/>
        <v>7.3363354441739475</v>
      </c>
      <c r="H169" s="282">
        <f>C169*Conversions!$B$50</f>
        <v>733.6335444173948</v>
      </c>
      <c r="K169">
        <f t="shared" si="53"/>
        <v>0</v>
      </c>
    </row>
    <row r="170" spans="1:11" ht="15">
      <c r="A170" s="639">
        <f t="shared" si="49"/>
        <v>9000</v>
      </c>
      <c r="B170" s="640">
        <f t="shared" si="54"/>
        <v>2700</v>
      </c>
      <c r="C170" s="278">
        <f t="shared" si="55"/>
        <v>21.388127957774287</v>
      </c>
      <c r="D170" s="278">
        <f>C170*Conversions!$B$53</f>
        <v>543.258447268212</v>
      </c>
      <c r="E170" s="279">
        <f>C170*Conversions!$B$59</f>
        <v>10.504902817175845</v>
      </c>
      <c r="F170" s="280">
        <f>H170*Conversions!$D$67</f>
        <v>0.7386170441608467</v>
      </c>
      <c r="G170" s="281">
        <f t="shared" si="52"/>
        <v>7.242850285454154</v>
      </c>
      <c r="H170" s="282">
        <f>C170*Conversions!$B$50</f>
        <v>724.2850285454155</v>
      </c>
      <c r="K170">
        <f t="shared" si="53"/>
        <v>0</v>
      </c>
    </row>
    <row r="171" spans="1:11" ht="15">
      <c r="A171" s="639">
        <f t="shared" si="49"/>
        <v>9333.333333333334</v>
      </c>
      <c r="B171" s="640">
        <f t="shared" si="54"/>
        <v>2800</v>
      </c>
      <c r="C171" s="278">
        <f t="shared" si="55"/>
        <v>21.11492181179173</v>
      </c>
      <c r="D171" s="278">
        <f>C171*Conversions!$B$53</f>
        <v>536.3190111967783</v>
      </c>
      <c r="E171" s="279">
        <f>C171*Conversions!$B$59</f>
        <v>10.370716037562966</v>
      </c>
      <c r="F171" s="280">
        <f>H171*Conversions!$D$67</f>
        <v>0.7291821503547778</v>
      </c>
      <c r="G171" s="281">
        <f t="shared" si="52"/>
        <v>7.150332080199154</v>
      </c>
      <c r="H171" s="282">
        <f>C171*Conversions!$B$50</f>
        <v>715.0332080199154</v>
      </c>
      <c r="K171">
        <f t="shared" si="53"/>
        <v>0</v>
      </c>
    </row>
    <row r="172" spans="1:11" ht="15">
      <c r="A172" s="639">
        <f t="shared" si="49"/>
        <v>9666.666666666668</v>
      </c>
      <c r="B172" s="640">
        <f t="shared" si="54"/>
        <v>2900</v>
      </c>
      <c r="C172" s="278">
        <f t="shared" si="55"/>
        <v>20.844548428168217</v>
      </c>
      <c r="D172" s="278">
        <f>C172*Conversions!$B$53</f>
        <v>529.4515272888858</v>
      </c>
      <c r="E172" s="279">
        <f>C172*Conversions!$B$59</f>
        <v>10.237920585575612</v>
      </c>
      <c r="F172" s="280">
        <f>H172*Conversions!$D$67</f>
        <v>0.719845083088955</v>
      </c>
      <c r="G172" s="281">
        <f t="shared" si="52"/>
        <v>7.058773158229783</v>
      </c>
      <c r="H172" s="282">
        <f>C172*Conversions!$B$50</f>
        <v>705.8773158229783</v>
      </c>
      <c r="K172">
        <f t="shared" si="53"/>
        <v>0</v>
      </c>
    </row>
    <row r="173" spans="1:11" ht="15">
      <c r="A173" s="639">
        <f t="shared" si="49"/>
        <v>10000</v>
      </c>
      <c r="B173" s="640">
        <f t="shared" si="54"/>
        <v>3000</v>
      </c>
      <c r="C173" s="278">
        <f t="shared" si="55"/>
        <v>20.576985281663344</v>
      </c>
      <c r="D173" s="278">
        <f>C173*Conversions!$B$53</f>
        <v>522.655423403431</v>
      </c>
      <c r="E173" s="279">
        <f>C173*Conversions!$B$59</f>
        <v>10.106505397811606</v>
      </c>
      <c r="F173" s="280">
        <f>H173*Conversions!$D$67</f>
        <v>0.7106050644773229</v>
      </c>
      <c r="G173" s="281">
        <f t="shared" si="52"/>
        <v>6.968165891625348</v>
      </c>
      <c r="H173" s="282">
        <f>C173*Conversions!$B$50</f>
        <v>696.8165891625348</v>
      </c>
      <c r="K173">
        <f t="shared" si="53"/>
        <v>0</v>
      </c>
    </row>
    <row r="174" spans="1:11" ht="15">
      <c r="A174" s="639">
        <f t="shared" si="49"/>
        <v>10333.333333333334</v>
      </c>
      <c r="B174" s="640">
        <f t="shared" si="54"/>
        <v>3100</v>
      </c>
      <c r="C174" s="278">
        <f t="shared" si="55"/>
        <v>20.312209971442172</v>
      </c>
      <c r="D174" s="278">
        <f>C174*Conversions!$B$53</f>
        <v>515.9301305592095</v>
      </c>
      <c r="E174" s="279">
        <f>C174*Conversions!$B$59</f>
        <v>9.97645947197124</v>
      </c>
      <c r="F174" s="280">
        <f>H174*Conversions!$D$67</f>
        <v>0.7014613209300411</v>
      </c>
      <c r="G174" s="281">
        <f t="shared" si="52"/>
        <v>6.878502694593671</v>
      </c>
      <c r="H174" s="282">
        <f>C174*Conversions!$B$50</f>
        <v>687.850269459367</v>
      </c>
      <c r="K174">
        <f t="shared" si="53"/>
        <v>0</v>
      </c>
    </row>
    <row r="175" spans="1:11" ht="15">
      <c r="A175" s="639">
        <f t="shared" si="49"/>
        <v>10666.666666666668</v>
      </c>
      <c r="B175" s="640">
        <f t="shared" si="54"/>
        <v>3200</v>
      </c>
      <c r="C175" s="278">
        <f t="shared" si="55"/>
        <v>20.050200220691746</v>
      </c>
      <c r="D175" s="278">
        <f>C175*Conversions!$B$53</f>
        <v>509.2750829251752</v>
      </c>
      <c r="E175" s="279">
        <f>C175*Conversions!$B$59</f>
        <v>9.847771866668914</v>
      </c>
      <c r="F175" s="280">
        <f>H175*Conversions!$D$67</f>
        <v>0.6924130831402416</v>
      </c>
      <c r="G175" s="281">
        <f t="shared" si="52"/>
        <v>6.789776023341234</v>
      </c>
      <c r="H175" s="282">
        <f>C175*Conversions!$B$50</f>
        <v>678.9776023341234</v>
      </c>
      <c r="K175">
        <f t="shared" si="53"/>
        <v>0</v>
      </c>
    </row>
    <row r="176" spans="1:11" ht="15">
      <c r="A176" s="639">
        <f t="shared" si="49"/>
        <v>11000</v>
      </c>
      <c r="B176" s="640">
        <f t="shared" si="54"/>
        <v>3300</v>
      </c>
      <c r="C176" s="278">
        <f t="shared" si="55"/>
        <v>19.790933876237872</v>
      </c>
      <c r="D176" s="278">
        <f>C176*Conversions!$B$53</f>
        <v>502.6897178107066</v>
      </c>
      <c r="E176" s="279">
        <f>C176*Conversions!$B$59</f>
        <v>9.720431701244927</v>
      </c>
      <c r="F176" s="280">
        <f>H176*Conversions!$D$67</f>
        <v>0.6834595860707938</v>
      </c>
      <c r="G176" s="281">
        <f t="shared" si="52"/>
        <v>6.701978375943401</v>
      </c>
      <c r="H176" s="282">
        <f>C176*Conversions!$B$50</f>
        <v>670.1978375943402</v>
      </c>
      <c r="K176">
        <f t="shared" si="53"/>
        <v>0</v>
      </c>
    </row>
    <row r="177" spans="1:11" ht="15">
      <c r="A177" s="639">
        <f t="shared" si="49"/>
        <v>11333.333333333334</v>
      </c>
      <c r="B177" s="640">
        <f t="shared" si="54"/>
        <v>3400</v>
      </c>
      <c r="C177" s="278">
        <f t="shared" si="55"/>
        <v>19.534388908162285</v>
      </c>
      <c r="D177" s="278">
        <f>C177*Conversions!$B$53</f>
        <v>496.1734756558827</v>
      </c>
      <c r="E177" s="279">
        <f>C177*Conversions!$B$59</f>
        <v>9.594428155577436</v>
      </c>
      <c r="F177" s="280">
        <f>H177*Conversions!$D$67</f>
        <v>0.6746000689410838</v>
      </c>
      <c r="G177" s="281">
        <f t="shared" si="52"/>
        <v>6.615102292214779</v>
      </c>
      <c r="H177" s="282">
        <f>C177*Conversions!$B$50</f>
        <v>661.5102292214779</v>
      </c>
      <c r="K177">
        <f t="shared" si="53"/>
        <v>0</v>
      </c>
    </row>
    <row r="178" spans="1:11" ht="15">
      <c r="A178" s="639">
        <f t="shared" si="49"/>
        <v>11666.666666666668</v>
      </c>
      <c r="B178" s="640">
        <f t="shared" si="54"/>
        <v>3500</v>
      </c>
      <c r="C178" s="278">
        <f t="shared" si="55"/>
        <v>19.280543409419792</v>
      </c>
      <c r="D178" s="278">
        <f>C178*Conversions!$B$53</f>
        <v>489.7258000217585</v>
      </c>
      <c r="E178" s="279">
        <f>C178*Conversions!$B$59</f>
        <v>9.469750469894425</v>
      </c>
      <c r="F178" s="280">
        <f>H178*Conversions!$D$67</f>
        <v>0.6658337752137936</v>
      </c>
      <c r="G178" s="281">
        <f t="shared" si="52"/>
        <v>6.529140353579563</v>
      </c>
      <c r="H178" s="282">
        <f>C178*Conversions!$B$50</f>
        <v>652.9140353579563</v>
      </c>
      <c r="K178">
        <f t="shared" si="53"/>
        <v>0</v>
      </c>
    </row>
    <row r="179" spans="1:11" ht="15">
      <c r="A179" s="639">
        <f t="shared" si="49"/>
        <v>12000</v>
      </c>
      <c r="B179" s="640">
        <f t="shared" si="54"/>
        <v>3600</v>
      </c>
      <c r="C179" s="278">
        <f t="shared" si="55"/>
        <v>19.02937559545578</v>
      </c>
      <c r="D179" s="278">
        <f>C179*Conversions!$B$53</f>
        <v>483.3461375806498</v>
      </c>
      <c r="E179" s="279">
        <f>C179*Conversions!$B$59</f>
        <v>9.346387944585826</v>
      </c>
      <c r="F179" s="280">
        <f>H179*Conversions!$D$67</f>
        <v>0.6571599525816915</v>
      </c>
      <c r="G179" s="281">
        <f t="shared" si="52"/>
        <v>6.444085182942018</v>
      </c>
      <c r="H179" s="282">
        <f>C179*Conversions!$B$50</f>
        <v>644.4085182942018</v>
      </c>
      <c r="K179">
        <f t="shared" si="53"/>
        <v>0</v>
      </c>
    </row>
    <row r="180" spans="1:11" ht="15">
      <c r="A180" s="639">
        <f t="shared" si="49"/>
        <v>12333.333333333334</v>
      </c>
      <c r="B180" s="640">
        <f t="shared" si="54"/>
        <v>3700</v>
      </c>
      <c r="C180" s="278">
        <f t="shared" si="55"/>
        <v>18.780863803824115</v>
      </c>
      <c r="D180" s="278">
        <f>C180*Conversions!$B$53</f>
        <v>477.0339381064276</v>
      </c>
      <c r="E180" s="279">
        <f>C180*Conversions!$B$59</f>
        <v>9.224329940015869</v>
      </c>
      <c r="F180" s="280">
        <f>H180*Conversions!$D$67</f>
        <v>0.6485778529544366</v>
      </c>
      <c r="G180" s="281">
        <f t="shared" si="52"/>
        <v>6.359929444557077</v>
      </c>
      <c r="H180" s="282">
        <f>C180*Conversions!$B$50</f>
        <v>635.9929444557076</v>
      </c>
      <c r="K180">
        <f t="shared" si="53"/>
        <v>0</v>
      </c>
    </row>
    <row r="181" spans="1:11" ht="15">
      <c r="A181" s="639">
        <f t="shared" si="49"/>
        <v>12666.666666666668</v>
      </c>
      <c r="B181" s="640">
        <f t="shared" si="54"/>
        <v>3800</v>
      </c>
      <c r="C181" s="278">
        <f t="shared" si="55"/>
        <v>18.53498649380501</v>
      </c>
      <c r="D181" s="278">
        <f>C181*Conversions!$B$53</f>
        <v>470.7886544648123</v>
      </c>
      <c r="E181" s="279">
        <f>C181*Conversions!$B$59</f>
        <v>9.10356587633537</v>
      </c>
      <c r="F181" s="280">
        <f>H181*Conversions!$D$67</f>
        <v>0.6400867324453824</v>
      </c>
      <c r="G181" s="281">
        <f t="shared" si="52"/>
        <v>6.276665843900934</v>
      </c>
      <c r="H181" s="282">
        <f>C181*Conversions!$B$50</f>
        <v>627.6665843900935</v>
      </c>
      <c r="K181">
        <f t="shared" si="53"/>
        <v>0</v>
      </c>
    </row>
    <row r="182" spans="1:11" ht="15">
      <c r="A182" s="639">
        <f t="shared" si="49"/>
        <v>13000</v>
      </c>
      <c r="B182" s="640">
        <f t="shared" si="54"/>
        <v>3900</v>
      </c>
      <c r="C182" s="278">
        <f t="shared" si="55"/>
        <v>18.29172224602333</v>
      </c>
      <c r="D182" s="278">
        <f>C182*Conversions!$B$53</f>
        <v>464.60974260367817</v>
      </c>
      <c r="E182" s="279">
        <f>C182*Conversions!$B$59</f>
        <v>8.984085233294282</v>
      </c>
      <c r="F182" s="280">
        <f>H182*Conversions!$D$67</f>
        <v>0.6316858513583956</v>
      </c>
      <c r="G182" s="281">
        <f t="shared" si="52"/>
        <v>6.194287127541801</v>
      </c>
      <c r="H182" s="282">
        <f>C182*Conversions!$B$50</f>
        <v>619.4287127541801</v>
      </c>
      <c r="K182">
        <f t="shared" si="53"/>
        <v>0</v>
      </c>
    </row>
    <row r="183" spans="1:11" ht="15">
      <c r="A183" s="639">
        <f t="shared" si="49"/>
        <v>13333.333333333334</v>
      </c>
      <c r="B183" s="640">
        <f t="shared" si="54"/>
        <v>4000</v>
      </c>
      <c r="C183" s="278">
        <f t="shared" si="55"/>
        <v>18.051049762067137</v>
      </c>
      <c r="D183" s="278">
        <f>C183*Conversions!$B$53</f>
        <v>458.496661543365</v>
      </c>
      <c r="E183" s="279">
        <f>C183*Conversions!$B$59</f>
        <v>8.86587755005433</v>
      </c>
      <c r="F183" s="280">
        <f>H183*Conversions!$D$67</f>
        <v>0.6233744741746831</v>
      </c>
      <c r="G183" s="281">
        <f t="shared" si="52"/>
        <v>6.112786083010718</v>
      </c>
      <c r="H183" s="282">
        <f>C183*Conversions!$B$50</f>
        <v>611.2786083010718</v>
      </c>
      <c r="K183">
        <f t="shared" si="53"/>
        <v>0</v>
      </c>
    </row>
    <row r="184" spans="1:11" ht="15">
      <c r="A184" s="639">
        <f t="shared" si="49"/>
        <v>13666.666666666668</v>
      </c>
      <c r="B184" s="640">
        <f t="shared" si="54"/>
        <v>4100</v>
      </c>
      <c r="C184" s="278">
        <f t="shared" si="55"/>
        <v>17.812947864106338</v>
      </c>
      <c r="D184" s="278">
        <f>C184*Conversions!$B$53</f>
        <v>452.44887336699117</v>
      </c>
      <c r="E184" s="279">
        <f>C184*Conversions!$B$59</f>
        <v>8.748932425001712</v>
      </c>
      <c r="F184" s="280">
        <f>H184*Conversions!$D$67</f>
        <v>0.6151518695396212</v>
      </c>
      <c r="G184" s="281">
        <f t="shared" si="52"/>
        <v>6.032155538672418</v>
      </c>
      <c r="H184" s="282">
        <f>C184*Conversions!$B$50</f>
        <v>603.2155538672419</v>
      </c>
      <c r="K184">
        <f t="shared" si="53"/>
        <v>0</v>
      </c>
    </row>
    <row r="185" spans="1:11" ht="15">
      <c r="A185" s="639">
        <f t="shared" si="49"/>
        <v>14000</v>
      </c>
      <c r="B185" s="640">
        <f t="shared" si="54"/>
        <v>4200</v>
      </c>
      <c r="C185" s="278">
        <f t="shared" si="55"/>
        <v>17.577395494511705</v>
      </c>
      <c r="D185" s="278">
        <f>C185*Conversions!$B$53</f>
        <v>446.4658432107771</v>
      </c>
      <c r="E185" s="279">
        <f>C185*Conversions!$B$59</f>
        <v>8.633239515559973</v>
      </c>
      <c r="F185" s="280">
        <f>H185*Conversions!$D$67</f>
        <v>0.6070173102496002</v>
      </c>
      <c r="G185" s="281">
        <f t="shared" si="52"/>
        <v>5.952388363596315</v>
      </c>
      <c r="H185" s="282">
        <f>C185*Conversions!$B$50</f>
        <v>595.2388363596315</v>
      </c>
      <c r="K185">
        <f t="shared" si="53"/>
        <v>0</v>
      </c>
    </row>
    <row r="186" spans="1:11" ht="15">
      <c r="A186" s="639">
        <f t="shared" si="49"/>
        <v>14333.333333333334</v>
      </c>
      <c r="B186" s="640">
        <f t="shared" si="54"/>
        <v>4300</v>
      </c>
      <c r="C186" s="278">
        <f t="shared" si="55"/>
        <v>17.344371715474157</v>
      </c>
      <c r="D186" s="278">
        <f>C186*Conversions!$B$53</f>
        <v>440.54703925437497</v>
      </c>
      <c r="E186" s="279">
        <f>C186*Conversions!$B$59</f>
        <v>8.518788538003019</v>
      </c>
      <c r="F186" s="280">
        <f>H186*Conversions!$D$67</f>
        <v>0.598970073238876</v>
      </c>
      <c r="G186" s="281">
        <f t="shared" si="52"/>
        <v>5.873477467427572</v>
      </c>
      <c r="H186" s="282">
        <f>C186*Conversions!$B$50</f>
        <v>587.3477467427572</v>
      </c>
      <c r="K186">
        <f t="shared" si="53"/>
        <v>0</v>
      </c>
    </row>
    <row r="187" spans="1:11" ht="15">
      <c r="A187" s="639">
        <f t="shared" si="49"/>
        <v>14666.666666666668</v>
      </c>
      <c r="B187" s="640">
        <f t="shared" si="54"/>
        <v>4400</v>
      </c>
      <c r="C187" s="278">
        <f t="shared" si="55"/>
        <v>17.113855708624172</v>
      </c>
      <c r="D187" s="278">
        <f>C187*Conversions!$B$53</f>
        <v>434.69193271120173</v>
      </c>
      <c r="E187" s="279">
        <f>C187*Conversions!$B$59</f>
        <v>8.405569267268184</v>
      </c>
      <c r="F187" s="280">
        <f>H187*Conversions!$D$67</f>
        <v>0.5910094395664274</v>
      </c>
      <c r="G187" s="281">
        <f t="shared" si="52"/>
        <v>5.795415800258225</v>
      </c>
      <c r="H187" s="282">
        <f>C187*Conversions!$B$50</f>
        <v>579.5415800258226</v>
      </c>
      <c r="K187">
        <f t="shared" si="53"/>
        <v>0</v>
      </c>
    </row>
    <row r="188" spans="1:11" ht="15">
      <c r="A188" s="639">
        <f t="shared" si="49"/>
        <v>15000</v>
      </c>
      <c r="B188" s="640">
        <f t="shared" si="54"/>
        <v>4500</v>
      </c>
      <c r="C188" s="278">
        <f t="shared" si="55"/>
        <v>16.885826774651502</v>
      </c>
      <c r="D188" s="278">
        <f>C188*Conversions!$B$53</f>
        <v>428.89999781877975</v>
      </c>
      <c r="E188" s="279">
        <f>C188*Conversions!$B$59</f>
        <v>8.293571536769456</v>
      </c>
      <c r="F188" s="280">
        <f>H188*Conversions!$D$67</f>
        <v>0.5831346944028227</v>
      </c>
      <c r="G188" s="281">
        <f t="shared" si="52"/>
        <v>5.718196352498403</v>
      </c>
      <c r="H188" s="282">
        <f>C188*Conversions!$B$50</f>
        <v>571.8196352498403</v>
      </c>
      <c r="K188">
        <f t="shared" si="53"/>
        <v>0</v>
      </c>
    </row>
    <row r="189" spans="1:11" ht="15">
      <c r="A189" s="639">
        <f t="shared" si="49"/>
        <v>15333.333333333334</v>
      </c>
      <c r="B189" s="640">
        <f t="shared" si="54"/>
        <v>4600</v>
      </c>
      <c r="C189" s="278">
        <f t="shared" si="55"/>
        <v>16.66026433292526</v>
      </c>
      <c r="D189" s="278">
        <f>C189*Conversions!$B$53</f>
        <v>423.17071182908734</v>
      </c>
      <c r="E189" s="279">
        <f>C189*Conversions!$B$59</f>
        <v>8.182785238210878</v>
      </c>
      <c r="F189" s="280">
        <f>H189*Conversions!$D$67</f>
        <v>0.5753451270171</v>
      </c>
      <c r="G189" s="281">
        <f t="shared" si="52"/>
        <v>5.641812154747668</v>
      </c>
      <c r="H189" s="282">
        <f>C189*Conversions!$B$50</f>
        <v>564.1812154747668</v>
      </c>
      <c r="K189">
        <f t="shared" si="53"/>
        <v>0</v>
      </c>
    </row>
    <row r="190" spans="1:11" ht="15">
      <c r="A190" s="639">
        <f t="shared" si="49"/>
        <v>15666.666666666668</v>
      </c>
      <c r="B190" s="640">
        <f t="shared" si="54"/>
        <v>4700</v>
      </c>
      <c r="C190" s="278">
        <f t="shared" si="55"/>
        <v>16.437147921114</v>
      </c>
      <c r="D190" s="278">
        <f>C190*Conversions!$B$53</f>
        <v>417.5035549989085</v>
      </c>
      <c r="E190" s="279">
        <f>C190*Conversions!$B$59</f>
        <v>8.073200321399947</v>
      </c>
      <c r="F190" s="280">
        <f>H190*Conversions!$D$67</f>
        <v>0.5676400307636477</v>
      </c>
      <c r="G190" s="281">
        <f t="shared" si="52"/>
        <v>5.566256277666368</v>
      </c>
      <c r="H190" s="282">
        <f>C190*Conversions!$B$50</f>
        <v>556.6256277666369</v>
      </c>
      <c r="K190">
        <f t="shared" si="53"/>
        <v>0</v>
      </c>
    </row>
    <row r="191" spans="1:11" ht="15">
      <c r="A191" s="639">
        <f t="shared" si="49"/>
        <v>16000</v>
      </c>
      <c r="B191" s="640">
        <f t="shared" si="54"/>
        <v>4800</v>
      </c>
      <c r="C191" s="278">
        <f t="shared" si="55"/>
        <v>16.216457194806246</v>
      </c>
      <c r="D191" s="278">
        <f>C191*Conversions!$B$53</f>
        <v>411.8980105801944</v>
      </c>
      <c r="E191" s="279">
        <f>C191*Conversions!$B$59</f>
        <v>7.964806794061232</v>
      </c>
      <c r="F191" s="280">
        <f>H191*Conversions!$D$67</f>
        <v>0.5600187030690987</v>
      </c>
      <c r="G191" s="281">
        <f t="shared" si="52"/>
        <v>5.491521831847132</v>
      </c>
      <c r="H191" s="282">
        <f>C191*Conversions!$B$50</f>
        <v>549.1521831847132</v>
      </c>
      <c r="K191">
        <f t="shared" si="53"/>
        <v>0</v>
      </c>
    </row>
    <row r="192" spans="1:11" ht="15">
      <c r="A192" s="639">
        <f t="shared" si="49"/>
        <v>16333.333333333334</v>
      </c>
      <c r="B192" s="640">
        <f t="shared" si="54"/>
        <v>4900</v>
      </c>
      <c r="C192" s="278">
        <f t="shared" si="55"/>
        <v>15.998171927131251</v>
      </c>
      <c r="D192" s="278">
        <f>C192*Conversions!$B$53</f>
        <v>406.35356481043084</v>
      </c>
      <c r="E192" s="279">
        <f>C192*Conversions!$B$59</f>
        <v>7.85759472165012</v>
      </c>
      <c r="F192" s="280">
        <f>H192*Conversions!$D$67</f>
        <v>0.5524804454192346</v>
      </c>
      <c r="G192" s="281">
        <f t="shared" si="52"/>
        <v>5.417601967686434</v>
      </c>
      <c r="H192" s="282">
        <f>C192*Conversions!$B$50</f>
        <v>541.7601967686435</v>
      </c>
      <c r="K192">
        <f t="shared" si="53"/>
        <v>0</v>
      </c>
    </row>
    <row r="193" spans="1:11" ht="15">
      <c r="A193" s="639">
        <f t="shared" si="49"/>
        <v>16666.666666666668</v>
      </c>
      <c r="B193" s="640">
        <f t="shared" si="54"/>
        <v>5000</v>
      </c>
      <c r="C193" s="278">
        <f t="shared" si="55"/>
        <v>15.782272008379856</v>
      </c>
      <c r="D193" s="278">
        <f>C193*Conversions!$B$53</f>
        <v>400.8697069030078</v>
      </c>
      <c r="E193" s="279">
        <f>C193*Conversions!$B$59</f>
        <v>7.751554227166582</v>
      </c>
      <c r="F193" s="280">
        <f>H193*Conversions!$D$67</f>
        <v>0.5450245633458921</v>
      </c>
      <c r="G193" s="281">
        <f t="shared" si="52"/>
        <v>5.344489875256219</v>
      </c>
      <c r="H193" s="282">
        <f>C193*Conversions!$B$50</f>
        <v>534.4489875256219</v>
      </c>
      <c r="K193">
        <f t="shared" si="53"/>
        <v>0</v>
      </c>
    </row>
    <row r="194" spans="1:11" ht="15">
      <c r="A194" s="639">
        <f t="shared" si="49"/>
        <v>17000</v>
      </c>
      <c r="B194" s="640">
        <f t="shared" si="54"/>
        <v>5100</v>
      </c>
      <c r="C194" s="278">
        <f t="shared" si="55"/>
        <v>15.568737445625814</v>
      </c>
      <c r="D194" s="278">
        <f>C194*Conversions!$B$53</f>
        <v>395.44592903760133</v>
      </c>
      <c r="E194" s="279">
        <f>C194*Conversions!$B$59</f>
        <v>7.646675490969196</v>
      </c>
      <c r="F194" s="280">
        <f>H194*Conversions!$D$67</f>
        <v>0.5376503664138862</v>
      </c>
      <c r="G194" s="281">
        <f t="shared" si="52"/>
        <v>5.272178784175652</v>
      </c>
      <c r="H194" s="282">
        <f>C194*Conversions!$B$50</f>
        <v>527.2178784175652</v>
      </c>
      <c r="K194">
        <f t="shared" si="53"/>
        <v>0</v>
      </c>
    </row>
    <row r="195" spans="1:11" ht="15">
      <c r="A195" s="639">
        <f t="shared" si="49"/>
        <v>17333.333333333336</v>
      </c>
      <c r="B195" s="640">
        <f t="shared" si="54"/>
        <v>5200</v>
      </c>
      <c r="C195" s="278">
        <f t="shared" si="55"/>
        <v>15.357548362347197</v>
      </c>
      <c r="D195" s="278">
        <f>C195*Conversions!$B$53</f>
        <v>390.0817263505571</v>
      </c>
      <c r="E195" s="279">
        <f>C195*Conversions!$B$59</f>
        <v>7.5429487505891935</v>
      </c>
      <c r="F195" s="280">
        <f>H195*Conversions!$D$67</f>
        <v>0.5303571682079352</v>
      </c>
      <c r="G195" s="281">
        <f t="shared" si="52"/>
        <v>5.200661963482921</v>
      </c>
      <c r="H195" s="282">
        <f>C195*Conversions!$B$50</f>
        <v>520.0661963482921</v>
      </c>
      <c r="K195">
        <f t="shared" si="53"/>
        <v>0</v>
      </c>
    </row>
    <row r="196" spans="1:11" ht="15">
      <c r="A196" s="639">
        <f t="shared" si="49"/>
        <v>17666.666666666668</v>
      </c>
      <c r="B196" s="640">
        <f t="shared" si="54"/>
        <v>5300</v>
      </c>
      <c r="C196" s="278">
        <f t="shared" si="55"/>
        <v>15.148684998048136</v>
      </c>
      <c r="D196" s="278">
        <f>C196*Conversions!$B$53</f>
        <v>384.7765969252827</v>
      </c>
      <c r="E196" s="279">
        <f>C196*Conversions!$B$59</f>
        <v>7.440364300544676</v>
      </c>
      <c r="F196" s="280">
        <f>H196*Conversions!$D$67</f>
        <v>0.5231442863195983</v>
      </c>
      <c r="G196" s="281">
        <f t="shared" si="52"/>
        <v>5.129932721507141</v>
      </c>
      <c r="H196" s="282">
        <f>C196*Conversions!$B$50</f>
        <v>512.9932721507141</v>
      </c>
      <c r="K196">
        <f t="shared" si="53"/>
        <v>0</v>
      </c>
    </row>
    <row r="197" spans="1:11" ht="15">
      <c r="A197" s="639">
        <f t="shared" si="49"/>
        <v>18000</v>
      </c>
      <c r="B197" s="640">
        <f t="shared" si="54"/>
        <v>5400</v>
      </c>
      <c r="C197" s="278">
        <f t="shared" si="55"/>
        <v>14.942127707880765</v>
      </c>
      <c r="D197" s="278">
        <f>C197*Conversions!$B$53</f>
        <v>379.5300417826449</v>
      </c>
      <c r="E197" s="279">
        <f>C197*Conversions!$B$59</f>
        <v>7.338912492154933</v>
      </c>
      <c r="F197" s="280">
        <f>H197*Conversions!$D$67</f>
        <v>0.5160110423342198</v>
      </c>
      <c r="G197" s="281">
        <f t="shared" si="52"/>
        <v>5.0599844057403285</v>
      </c>
      <c r="H197" s="282">
        <f>C197*Conversions!$B$50</f>
        <v>505.9984405740328</v>
      </c>
      <c r="K197">
        <f t="shared" si="53"/>
        <v>0</v>
      </c>
    </row>
    <row r="198" spans="1:11" ht="15">
      <c r="A198" s="639">
        <f t="shared" si="49"/>
        <v>18333.333333333336</v>
      </c>
      <c r="B198" s="640">
        <f t="shared" si="54"/>
        <v>5500</v>
      </c>
      <c r="C198" s="278">
        <f t="shared" si="55"/>
        <v>14.73785696226746</v>
      </c>
      <c r="D198" s="278">
        <f>C198*Conversions!$B$53</f>
        <v>374.3415648713747</v>
      </c>
      <c r="E198" s="279">
        <f>C198*Conversions!$B$59</f>
        <v>7.238583733354898</v>
      </c>
      <c r="F198" s="280">
        <f>H198*Conversions!$D$67</f>
        <v>0.5089567618178836</v>
      </c>
      <c r="G198" s="281">
        <f t="shared" si="52"/>
        <v>4.99081040270948</v>
      </c>
      <c r="H198" s="282">
        <f>C198*Conversions!$B$50</f>
        <v>499.08104027094794</v>
      </c>
      <c r="K198">
        <f t="shared" si="53"/>
        <v>0</v>
      </c>
    </row>
    <row r="199" spans="1:11" ht="15">
      <c r="A199" s="639">
        <f t="shared" si="49"/>
        <v>18666.666666666668</v>
      </c>
      <c r="B199" s="640">
        <f t="shared" si="54"/>
        <v>5600</v>
      </c>
      <c r="C199" s="278">
        <f t="shared" si="55"/>
        <v>14.535853346523309</v>
      </c>
      <c r="D199" s="278">
        <f>C199*Conversions!$B$53</f>
        <v>369.210673058478</v>
      </c>
      <c r="E199" s="279">
        <f>C199*Conversions!$B$59</f>
        <v>7.139368488509727</v>
      </c>
      <c r="F199" s="280">
        <f>H199*Conversions!$D$67</f>
        <v>0.5019807743043755</v>
      </c>
      <c r="G199" s="281">
        <f t="shared" si="52"/>
        <v>4.922404137848721</v>
      </c>
      <c r="H199" s="282">
        <f>C199*Conversions!$B$50</f>
        <v>492.24041378487215</v>
      </c>
      <c r="K199">
        <f t="shared" si="53"/>
        <v>0</v>
      </c>
    </row>
    <row r="200" spans="1:11" ht="15">
      <c r="A200" s="639">
        <f t="shared" si="49"/>
        <v>19000</v>
      </c>
      <c r="B200" s="640">
        <f t="shared" si="54"/>
        <v>5700</v>
      </c>
      <c r="C200" s="278">
        <f t="shared" si="55"/>
        <v>14.336097560478834</v>
      </c>
      <c r="D200" s="278">
        <f>C200*Conversions!$B$53</f>
        <v>364.1368761196525</v>
      </c>
      <c r="E200" s="279">
        <f>C200*Conversions!$B$59</f>
        <v>7.041257278229491</v>
      </c>
      <c r="F200" s="280">
        <f>H200*Conversions!$D$67</f>
        <v>0.49508241328215397</v>
      </c>
      <c r="G200" s="281">
        <f t="shared" si="52"/>
        <v>4.854759075371551</v>
      </c>
      <c r="H200" s="282">
        <f>C200*Conversions!$B$50</f>
        <v>485.47590753715514</v>
      </c>
      <c r="K200">
        <f t="shared" si="53"/>
        <v>0</v>
      </c>
    </row>
    <row r="201" spans="1:11" ht="15">
      <c r="A201" s="639">
        <f t="shared" si="49"/>
        <v>19333.333333333336</v>
      </c>
      <c r="B201" s="640">
        <f t="shared" si="54"/>
        <v>5800</v>
      </c>
      <c r="C201" s="278">
        <f t="shared" si="55"/>
        <v>14.138570418102944</v>
      </c>
      <c r="D201" s="278">
        <f>C201*Conversions!$B$53</f>
        <v>359.1196867297112</v>
      </c>
      <c r="E201" s="279">
        <f>C201*Conversions!$B$59</f>
        <v>6.944240679183993</v>
      </c>
      <c r="F201" s="280">
        <f>H201*Conversions!$D$67</f>
        <v>0.4882610161813298</v>
      </c>
      <c r="G201" s="281">
        <f t="shared" si="52"/>
        <v>4.787868718143156</v>
      </c>
      <c r="H201" s="282">
        <f>C201*Conversions!$B$50</f>
        <v>478.7868718143156</v>
      </c>
      <c r="K201">
        <f t="shared" si="53"/>
        <v>0</v>
      </c>
    </row>
    <row r="202" spans="1:11" ht="15">
      <c r="A202" s="639">
        <f t="shared" si="49"/>
        <v>19666.666666666668</v>
      </c>
      <c r="B202" s="640">
        <f t="shared" si="54"/>
        <v>5900</v>
      </c>
      <c r="C202" s="278">
        <f t="shared" si="55"/>
        <v>13.943252847126232</v>
      </c>
      <c r="D202" s="278">
        <f>C202*Conversions!$B$53</f>
        <v>354.15862045301355</v>
      </c>
      <c r="E202" s="279">
        <f>C202*Conversions!$B$59</f>
        <v>6.848309323917746</v>
      </c>
      <c r="F202" s="280">
        <f>H202*Conversions!$D$67</f>
        <v>0.48151592436065654</v>
      </c>
      <c r="G202" s="281">
        <f t="shared" si="52"/>
        <v>4.721726607552842</v>
      </c>
      <c r="H202" s="282">
        <f>C202*Conversions!$B$50</f>
        <v>472.1726607552842</v>
      </c>
      <c r="K202">
        <f t="shared" si="53"/>
        <v>0</v>
      </c>
    </row>
    <row r="203" spans="1:11" ht="15">
      <c r="A203" s="639">
        <f t="shared" si="49"/>
        <v>20000</v>
      </c>
      <c r="B203" s="640">
        <f t="shared" si="54"/>
        <v>6000</v>
      </c>
      <c r="C203" s="278">
        <f t="shared" si="55"/>
        <v>13.750125888664355</v>
      </c>
      <c r="D203" s="278">
        <f>C203*Conversions!$B$53</f>
        <v>349.25319573389993</v>
      </c>
      <c r="E203" s="279">
        <f>C203*Conversions!$B$59</f>
        <v>6.753453900664991</v>
      </c>
      <c r="F203" s="280">
        <f>H203*Conversions!$D$67</f>
        <v>0.4748464830945248</v>
      </c>
      <c r="G203" s="281">
        <f t="shared" si="52"/>
        <v>4.6563263233865015</v>
      </c>
      <c r="H203" s="282">
        <f>C203*Conversions!$B$50</f>
        <v>465.6326323386501</v>
      </c>
      <c r="K203">
        <f t="shared" si="53"/>
        <v>0</v>
      </c>
    </row>
    <row r="204" spans="1:11" ht="15">
      <c r="A204" s="639">
        <f t="shared" si="49"/>
        <v>20333.333333333336</v>
      </c>
      <c r="B204" s="640">
        <f t="shared" si="54"/>
        <v>6100</v>
      </c>
      <c r="C204" s="278">
        <f t="shared" si="55"/>
        <v>13.55917069684187</v>
      </c>
      <c r="D204" s="278">
        <f>C204*Conversions!$B$53</f>
        <v>344.4029338871365</v>
      </c>
      <c r="E204" s="279">
        <f>C204*Conversions!$B$59</f>
        <v>6.659665153164944</v>
      </c>
      <c r="F204" s="280">
        <f>H204*Conversions!$D$67</f>
        <v>0.46825204155997135</v>
      </c>
      <c r="G204" s="281">
        <f t="shared" si="52"/>
        <v>4.591661483699224</v>
      </c>
      <c r="H204" s="282">
        <f>C204*Conversions!$B$50</f>
        <v>459.16614836992244</v>
      </c>
      <c r="K204">
        <f t="shared" si="53"/>
        <v>0</v>
      </c>
    </row>
    <row r="205" spans="1:11" ht="15">
      <c r="A205" s="639">
        <f t="shared" si="49"/>
        <v>20666.666666666668</v>
      </c>
      <c r="B205" s="640">
        <f t="shared" si="54"/>
        <v>6200</v>
      </c>
      <c r="C205" s="278">
        <f t="shared" si="55"/>
        <v>13.370368538416205</v>
      </c>
      <c r="D205" s="278">
        <f>C205*Conversions!$B$53</f>
        <v>339.6073590883645</v>
      </c>
      <c r="E205" s="279">
        <f>C205*Conversions!$B$59</f>
        <v>6.5669338804771105</v>
      </c>
      <c r="F205" s="280">
        <f>H205*Conversions!$D$67</f>
        <v>0.4617319528236935</v>
      </c>
      <c r="G205" s="281">
        <f t="shared" si="52"/>
        <v>4.527725744687965</v>
      </c>
      <c r="H205" s="282">
        <f>C205*Conversions!$B$50</f>
        <v>452.77257446879645</v>
      </c>
      <c r="K205">
        <f t="shared" si="53"/>
        <v>0</v>
      </c>
    </row>
    <row r="206" spans="1:11" ht="15">
      <c r="A206" s="639">
        <f t="shared" si="49"/>
        <v>21000</v>
      </c>
      <c r="B206" s="640">
        <f t="shared" si="54"/>
        <v>6300</v>
      </c>
      <c r="C206" s="278">
        <f t="shared" si="55"/>
        <v>13.183700792401863</v>
      </c>
      <c r="D206" s="278">
        <f>C206*Conversions!$B$53</f>
        <v>334.86599836455474</v>
      </c>
      <c r="E206" s="279">
        <f>C206*Conversions!$B$59</f>
        <v>6.475250936796705</v>
      </c>
      <c r="F206" s="280">
        <f>H206*Conversions!$D$67</f>
        <v>0.45528557382907164</v>
      </c>
      <c r="G206" s="281">
        <f t="shared" si="52"/>
        <v>4.464512800564277</v>
      </c>
      <c r="H206" s="282">
        <f>C206*Conversions!$B$50</f>
        <v>446.4512800564277</v>
      </c>
      <c r="K206">
        <f t="shared" si="53"/>
        <v>0</v>
      </c>
    </row>
    <row r="207" spans="1:11" ht="15">
      <c r="A207" s="639">
        <f t="shared" si="49"/>
        <v>21333.333333333336</v>
      </c>
      <c r="B207" s="640">
        <f t="shared" si="54"/>
        <v>6400</v>
      </c>
      <c r="C207" s="278">
        <f t="shared" si="55"/>
        <v>12.999148949694968</v>
      </c>
      <c r="D207" s="278">
        <f>C207*Conversions!$B$53</f>
        <v>330.17838158447125</v>
      </c>
      <c r="E207" s="279">
        <f>C207*Conversions!$B$59</f>
        <v>6.384607231270249</v>
      </c>
      <c r="F207" s="280">
        <f>H207*Conversions!$D$67</f>
        <v>0.4489122653832029</v>
      </c>
      <c r="G207" s="281">
        <f t="shared" si="52"/>
        <v>4.402016383427178</v>
      </c>
      <c r="H207" s="282">
        <f>C207*Conversions!$B$50</f>
        <v>440.20163834271773</v>
      </c>
      <c r="K207">
        <f t="shared" si="53"/>
        <v>0</v>
      </c>
    </row>
    <row r="208" spans="1:11" ht="15">
      <c r="A208" s="639">
        <f t="shared" si="49"/>
        <v>21666.666666666668</v>
      </c>
      <c r="B208" s="640">
        <f t="shared" si="54"/>
        <v>6500</v>
      </c>
      <c r="C208" s="278">
        <f t="shared" si="55"/>
        <v>12.816694612698033</v>
      </c>
      <c r="D208" s="278">
        <f>C208*Conversions!$B$53</f>
        <v>325.54404144914037</v>
      </c>
      <c r="E208" s="279">
        <f>C208*Conversions!$B$59</f>
        <v>6.2949937278112715</v>
      </c>
      <c r="F208" s="280">
        <f>H208*Conversions!$D$67</f>
        <v>0.4426113921439432</v>
      </c>
      <c r="G208" s="281">
        <f t="shared" si="52"/>
        <v>4.340230263136072</v>
      </c>
      <c r="H208" s="282">
        <f>C208*Conversions!$B$50</f>
        <v>434.0230263136072</v>
      </c>
      <c r="K208">
        <f t="shared" si="53"/>
        <v>0</v>
      </c>
    </row>
    <row r="209" spans="1:11" ht="15">
      <c r="A209" s="639">
        <f aca="true" t="shared" si="56" ref="A209:A272">B209*(1/0.3)</f>
        <v>22000</v>
      </c>
      <c r="B209" s="640">
        <f t="shared" si="54"/>
        <v>6600</v>
      </c>
      <c r="C209" s="278">
        <f t="shared" si="55"/>
        <v>12.63631949494495</v>
      </c>
      <c r="D209" s="278">
        <f>C209*Conversions!$B$53</f>
        <v>320.96251348232533</v>
      </c>
      <c r="E209" s="279">
        <f>C209*Conversions!$B$59</f>
        <v>6.206401444916122</v>
      </c>
      <c r="F209" s="280">
        <f>H209*Conversions!$D$67</f>
        <v>0.43638232260695636</v>
      </c>
      <c r="G209" s="281">
        <f aca="true" t="shared" si="57" ref="G209:G272">H209/100</f>
        <v>4.279148247183765</v>
      </c>
      <c r="H209" s="282">
        <f>C209*Conversions!$B$50</f>
        <v>427.9148247183765</v>
      </c>
      <c r="K209">
        <f aca="true" t="shared" si="58" ref="K209:K272">K208</f>
        <v>0</v>
      </c>
    </row>
    <row r="210" spans="1:11" ht="15">
      <c r="A210" s="639">
        <f t="shared" si="56"/>
        <v>22333.333333333336</v>
      </c>
      <c r="B210" s="640">
        <f t="shared" si="54"/>
        <v>6700</v>
      </c>
      <c r="C210" s="278">
        <f t="shared" si="55"/>
        <v>12.458005420726295</v>
      </c>
      <c r="D210" s="278">
        <f>C210*Conversions!$B$53</f>
        <v>316.43333602100927</v>
      </c>
      <c r="E210" s="279">
        <f>C210*Conversions!$B$59</f>
        <v>6.118821455479937</v>
      </c>
      <c r="F210" s="280">
        <f>H210*Conversions!$D$67</f>
        <v>0.430224429092775</v>
      </c>
      <c r="G210" s="281">
        <f t="shared" si="57"/>
        <v>4.218764180569575</v>
      </c>
      <c r="H210" s="282">
        <f>C210*Conversions!$B$50</f>
        <v>421.87641805695745</v>
      </c>
      <c r="K210">
        <f t="shared" si="58"/>
        <v>0</v>
      </c>
    </row>
    <row r="211" spans="1:11" ht="15">
      <c r="A211" s="639">
        <f t="shared" si="56"/>
        <v>22666.666666666668</v>
      </c>
      <c r="B211" s="640">
        <f t="shared" si="54"/>
        <v>6800</v>
      </c>
      <c r="C211" s="278">
        <f t="shared" si="55"/>
        <v>12.281734324714854</v>
      </c>
      <c r="D211" s="278">
        <f>C211*Conversions!$B$53</f>
        <v>311.95605020588334</v>
      </c>
      <c r="E211" s="279">
        <f>C211*Conversions!$B$59</f>
        <v>6.0322448866127125</v>
      </c>
      <c r="F211" s="280">
        <f>H211*Conversions!$D$67</f>
        <v>0.42413708773386755</v>
      </c>
      <c r="G211" s="281">
        <f t="shared" si="57"/>
        <v>4.159071945672517</v>
      </c>
      <c r="H211" s="282">
        <f>C211*Conversions!$B$50</f>
        <v>415.90719456725174</v>
      </c>
      <c r="K211">
        <f t="shared" si="58"/>
        <v>0</v>
      </c>
    </row>
    <row r="212" spans="1:11" ht="15">
      <c r="A212" s="639">
        <f t="shared" si="56"/>
        <v>23000</v>
      </c>
      <c r="B212" s="640">
        <f t="shared" si="54"/>
        <v>6900</v>
      </c>
      <c r="C212" s="278">
        <f t="shared" si="55"/>
        <v>12.107488251591404</v>
      </c>
      <c r="D212" s="278">
        <f>C212*Conversions!$B$53</f>
        <v>307.5301999718417</v>
      </c>
      <c r="E212" s="279">
        <f>C212*Conversions!$B$59</f>
        <v>5.946662919455506</v>
      </c>
      <c r="F212" s="280">
        <f>H212*Conversions!$D$67</f>
        <v>0.4181196784617159</v>
      </c>
      <c r="G212" s="281">
        <f t="shared" si="57"/>
        <v>4.1000654621245864</v>
      </c>
      <c r="H212" s="282">
        <f>C212*Conversions!$B$50</f>
        <v>410.00654621245866</v>
      </c>
      <c r="K212">
        <f t="shared" si="58"/>
        <v>0</v>
      </c>
    </row>
    <row r="213" spans="1:11" ht="15">
      <c r="A213" s="639">
        <f t="shared" si="56"/>
        <v>23333.333333333336</v>
      </c>
      <c r="B213" s="640">
        <f t="shared" si="54"/>
        <v>7000</v>
      </c>
      <c r="C213" s="278">
        <f t="shared" si="55"/>
        <v>11.935249355670782</v>
      </c>
      <c r="D213" s="278">
        <f>C213*Conversions!$B$53</f>
        <v>303.1553320384835</v>
      </c>
      <c r="E213" s="279">
        <f>C213*Conversions!$B$59</f>
        <v>5.86206678899678</v>
      </c>
      <c r="F213" s="280">
        <f>H213*Conversions!$D$67</f>
        <v>0.41217158499390144</v>
      </c>
      <c r="G213" s="281">
        <f t="shared" si="57"/>
        <v>4.041738686684124</v>
      </c>
      <c r="H213" s="282">
        <f>C213*Conversions!$B$50</f>
        <v>404.1738686684124</v>
      </c>
      <c r="K213">
        <f t="shared" si="58"/>
        <v>0</v>
      </c>
    </row>
    <row r="214" spans="1:11" ht="15">
      <c r="A214" s="639">
        <f t="shared" si="56"/>
        <v>23666.666666666668</v>
      </c>
      <c r="B214" s="640">
        <f t="shared" si="54"/>
        <v>7100</v>
      </c>
      <c r="C214" s="278">
        <f t="shared" si="55"/>
        <v>11.764999900528192</v>
      </c>
      <c r="D214" s="278">
        <f>C214*Conversions!$B$53</f>
        <v>298.83099590062136</v>
      </c>
      <c r="E214" s="279">
        <f>C214*Conversions!$B$59</f>
        <v>5.778447783888857</v>
      </c>
      <c r="F214" s="280">
        <f>H214*Conversions!$D$67</f>
        <v>0.40629219482120016</v>
      </c>
      <c r="G214" s="281">
        <f t="shared" si="57"/>
        <v>3.984085613109271</v>
      </c>
      <c r="H214" s="282">
        <f>C214*Conversions!$B$50</f>
        <v>398.4085613109271</v>
      </c>
      <c r="K214">
        <f t="shared" si="58"/>
        <v>0</v>
      </c>
    </row>
    <row r="215" spans="1:11" ht="15">
      <c r="A215" s="639">
        <f t="shared" si="56"/>
        <v>24000</v>
      </c>
      <c r="B215" s="640">
        <f t="shared" si="54"/>
        <v>7200</v>
      </c>
      <c r="C215" s="278">
        <f t="shared" si="55"/>
        <v>11.59672225862577</v>
      </c>
      <c r="D215" s="278">
        <f>C215*Conversions!$B$53</f>
        <v>294.5567438187959</v>
      </c>
      <c r="E215" s="279">
        <f>C215*Conversions!$B$59</f>
        <v>5.6957972462645055</v>
      </c>
      <c r="F215" s="280">
        <f>H215*Conversions!$D$67</f>
        <v>0.40048089919468666</v>
      </c>
      <c r="G215" s="281">
        <f t="shared" si="57"/>
        <v>3.9271002720315122</v>
      </c>
      <c r="H215" s="282">
        <f>C215*Conversions!$B$50</f>
        <v>392.71002720315124</v>
      </c>
      <c r="K215">
        <f t="shared" si="58"/>
        <v>0</v>
      </c>
    </row>
    <row r="216" spans="1:11" ht="15">
      <c r="A216" s="639">
        <f t="shared" si="56"/>
        <v>24333.333333333336</v>
      </c>
      <c r="B216" s="640">
        <f t="shared" si="54"/>
        <v>7300</v>
      </c>
      <c r="C216" s="278">
        <f t="shared" si="55"/>
        <v>11.430398910939443</v>
      </c>
      <c r="D216" s="278">
        <f>C216*Conversions!$B$53</f>
        <v>290.33213080979806</v>
      </c>
      <c r="E216" s="279">
        <f>C216*Conversions!$B$59</f>
        <v>5.614106571553673</v>
      </c>
      <c r="F216" s="280">
        <f>H216*Conversions!$D$67</f>
        <v>0.3947370931128478</v>
      </c>
      <c r="G216" s="281">
        <f t="shared" si="57"/>
        <v>3.8707767308293137</v>
      </c>
      <c r="H216" s="282">
        <f>C216*Conversions!$B$50</f>
        <v>387.07767308293137</v>
      </c>
      <c r="K216">
        <f t="shared" si="58"/>
        <v>0</v>
      </c>
    </row>
    <row r="217" spans="1:11" ht="15">
      <c r="A217" s="639">
        <f t="shared" si="56"/>
        <v>24666.666666666668</v>
      </c>
      <c r="B217" s="640">
        <f t="shared" si="54"/>
        <v>7400</v>
      </c>
      <c r="C217" s="278">
        <f t="shared" si="55"/>
        <v>11.266012446586005</v>
      </c>
      <c r="D217" s="278">
        <f>C217*Conversions!$B$53</f>
        <v>286.15671463719656</v>
      </c>
      <c r="E217" s="279">
        <f>C217*Conversions!$B$59</f>
        <v>5.533367208300317</v>
      </c>
      <c r="F217" s="280">
        <f>H217*Conversions!$D$67</f>
        <v>0.3890601753087043</v>
      </c>
      <c r="G217" s="281">
        <f t="shared" si="57"/>
        <v>3.8151090935018344</v>
      </c>
      <c r="H217" s="282">
        <f>C217*Conversions!$B$50</f>
        <v>381.51090935018345</v>
      </c>
      <c r="K217">
        <f t="shared" si="58"/>
        <v>0</v>
      </c>
    </row>
    <row r="218" spans="1:11" ht="15">
      <c r="A218" s="639">
        <f t="shared" si="56"/>
        <v>25000</v>
      </c>
      <c r="B218" s="640">
        <f aca="true" t="shared" si="59" ref="B218:B281">B217+100</f>
        <v>7500</v>
      </c>
      <c r="C218" s="278">
        <f aca="true" t="shared" si="60" ref="C218:C251">C$18*((D$18/(D$18+(E$18*(A218-B$18))))^((G$18*H$18)/(F$18*E$18)))</f>
        <v>11.103545562450465</v>
      </c>
      <c r="D218" s="278">
        <f>C218*Conversions!$B$53</f>
        <v>282.0300558018731</v>
      </c>
      <c r="E218" s="279">
        <f>C218*Conversions!$B$59</f>
        <v>5.453570657979378</v>
      </c>
      <c r="F218" s="280">
        <f>H218*Conversions!$D$67</f>
        <v>0.38344954823694155</v>
      </c>
      <c r="G218" s="281">
        <f t="shared" si="57"/>
        <v>3.760091500542736</v>
      </c>
      <c r="H218" s="282">
        <f>C218*Conversions!$B$50</f>
        <v>376.0091500542736</v>
      </c>
      <c r="K218">
        <f t="shared" si="58"/>
        <v>0</v>
      </c>
    </row>
    <row r="219" spans="1:11" ht="15">
      <c r="A219" s="639">
        <f t="shared" si="56"/>
        <v>25333.333333333336</v>
      </c>
      <c r="B219" s="640">
        <f t="shared" si="59"/>
        <v>7600</v>
      </c>
      <c r="C219" s="278">
        <f t="shared" si="60"/>
        <v>10.942981062813686</v>
      </c>
      <c r="D219" s="278">
        <f>C219*Conversions!$B$53</f>
        <v>277.95171753256386</v>
      </c>
      <c r="E219" s="279">
        <f>C219*Conversions!$B$59</f>
        <v>5.374708474813892</v>
      </c>
      <c r="F219" s="280">
        <f>H219*Conversions!$D$67</f>
        <v>0.3779046180610504</v>
      </c>
      <c r="G219" s="281">
        <f t="shared" si="57"/>
        <v>3.7057181288140835</v>
      </c>
      <c r="H219" s="282">
        <f>C219*Conversions!$B$50</f>
        <v>370.57181288140833</v>
      </c>
      <c r="K219">
        <f t="shared" si="58"/>
        <v>0</v>
      </c>
    </row>
    <row r="220" spans="1:11" ht="15">
      <c r="A220" s="639">
        <f t="shared" si="56"/>
        <v>25666.666666666668</v>
      </c>
      <c r="B220" s="640">
        <f t="shared" si="59"/>
        <v>7700</v>
      </c>
      <c r="C220" s="278">
        <f t="shared" si="60"/>
        <v>10.784301858980262</v>
      </c>
      <c r="D220" s="278">
        <f>C220*Conversions!$B$53</f>
        <v>273.9212657764078</v>
      </c>
      <c r="E220" s="279">
        <f>C220*Conversions!$B$59</f>
        <v>5.296772265592222</v>
      </c>
      <c r="F220" s="280">
        <f>H220*Conversions!$D$67</f>
        <v>0.3724247946404766</v>
      </c>
      <c r="G220" s="281">
        <f t="shared" si="57"/>
        <v>3.6519831914203316</v>
      </c>
      <c r="H220" s="282">
        <f>C220*Conversions!$B$50</f>
        <v>365.19831914203314</v>
      </c>
      <c r="K220">
        <f t="shared" si="58"/>
        <v>0</v>
      </c>
    </row>
    <row r="221" spans="1:11" ht="15">
      <c r="A221" s="639">
        <f t="shared" si="56"/>
        <v>26000</v>
      </c>
      <c r="B221" s="640">
        <f t="shared" si="59"/>
        <v>7800</v>
      </c>
      <c r="C221" s="278">
        <f t="shared" si="60"/>
        <v>10.627490968906644</v>
      </c>
      <c r="D221" s="278">
        <f>C221*Conversions!$B$53</f>
        <v>269.93826918950106</v>
      </c>
      <c r="E221" s="279">
        <f>C221*Conversions!$B$59</f>
        <v>5.219753689485404</v>
      </c>
      <c r="F221" s="280">
        <f>H221*Conversions!$D$67</f>
        <v>0.3670094915177783</v>
      </c>
      <c r="G221" s="281">
        <f t="shared" si="57"/>
        <v>3.598880937582394</v>
      </c>
      <c r="H221" s="282">
        <f>C221*Conversions!$B$50</f>
        <v>359.8880937582394</v>
      </c>
      <c r="K221">
        <f t="shared" si="58"/>
        <v>0</v>
      </c>
    </row>
    <row r="222" spans="1:11" ht="15">
      <c r="A222" s="639">
        <f t="shared" si="56"/>
        <v>26333.333333333336</v>
      </c>
      <c r="B222" s="640">
        <f t="shared" si="59"/>
        <v>7900</v>
      </c>
      <c r="C222" s="278">
        <f t="shared" si="60"/>
        <v>10.472531516829577</v>
      </c>
      <c r="D222" s="278">
        <f>C222*Conversions!$B$53</f>
        <v>266.00229912745914</v>
      </c>
      <c r="E222" s="279">
        <f>C222*Conversions!$B$59</f>
        <v>5.143644457864657</v>
      </c>
      <c r="F222" s="280">
        <f>H222*Conversions!$D$67</f>
        <v>0.3616581259057942</v>
      </c>
      <c r="G222" s="281">
        <f t="shared" si="57"/>
        <v>3.5464056525118157</v>
      </c>
      <c r="H222" s="282">
        <f>C222*Conversions!$B$50</f>
        <v>354.64056525118156</v>
      </c>
      <c r="K222">
        <f t="shared" si="58"/>
        <v>0</v>
      </c>
    </row>
    <row r="223" spans="1:11" ht="15">
      <c r="A223" s="639">
        <f t="shared" si="56"/>
        <v>26666.666666666668</v>
      </c>
      <c r="B223" s="640">
        <f t="shared" si="59"/>
        <v>8000</v>
      </c>
      <c r="C223" s="278">
        <f t="shared" si="60"/>
        <v>10.319406732894793</v>
      </c>
      <c r="D223" s="278">
        <f>C223*Conversions!$B$53</f>
        <v>262.112929635986</v>
      </c>
      <c r="E223" s="279">
        <f>C223*Conversions!$B$59</f>
        <v>5.0684363341190135</v>
      </c>
      <c r="F223" s="280">
        <f>H223*Conversions!$D$67</f>
        <v>0.3563701186748216</v>
      </c>
      <c r="G223" s="281">
        <f t="shared" si="57"/>
        <v>3.4945516572850375</v>
      </c>
      <c r="H223" s="282">
        <f>C223*Conversions!$B$50</f>
        <v>349.45516572850374</v>
      </c>
      <c r="K223">
        <f t="shared" si="58"/>
        <v>0</v>
      </c>
    </row>
    <row r="224" spans="1:11" ht="15">
      <c r="A224" s="639">
        <f t="shared" si="56"/>
        <v>27000</v>
      </c>
      <c r="B224" s="640">
        <f t="shared" si="59"/>
        <v>8100</v>
      </c>
      <c r="C224" s="278">
        <f t="shared" si="60"/>
        <v>10.168099952785859</v>
      </c>
      <c r="D224" s="278">
        <f>C224*Conversions!$B$53</f>
        <v>258.2697374414464</v>
      </c>
      <c r="E224" s="279">
        <f>C224*Conversions!$B$59</f>
        <v>4.994121133473022</v>
      </c>
      <c r="F224" s="280">
        <f>H224*Conversions!$D$67</f>
        <v>0.3511448943397982</v>
      </c>
      <c r="G224" s="281">
        <f t="shared" si="57"/>
        <v>3.443313308717705</v>
      </c>
      <c r="H224" s="282">
        <f>C224*Conversions!$B$50</f>
        <v>344.3313308717705</v>
      </c>
      <c r="K224">
        <f t="shared" si="58"/>
        <v>0</v>
      </c>
    </row>
    <row r="225" spans="1:11" ht="15">
      <c r="A225" s="639">
        <f t="shared" si="56"/>
        <v>27333.333333333336</v>
      </c>
      <c r="B225" s="640">
        <f t="shared" si="59"/>
        <v>8200</v>
      </c>
      <c r="C225" s="278">
        <f t="shared" si="60"/>
        <v>10.018594617353475</v>
      </c>
      <c r="D225" s="278">
        <f>C225*Conversions!$B$53</f>
        <v>254.47230194145038</v>
      </c>
      <c r="E225" s="279">
        <f>C225*Conversions!$B$59</f>
        <v>4.920690722804677</v>
      </c>
      <c r="F225" s="280">
        <f>H225*Conversions!$D$67</f>
        <v>0.345981881047501</v>
      </c>
      <c r="G225" s="281">
        <f t="shared" si="57"/>
        <v>3.3926849992391395</v>
      </c>
      <c r="H225" s="282">
        <f>C225*Conversions!$B$50</f>
        <v>339.26849992391396</v>
      </c>
      <c r="K225">
        <f t="shared" si="58"/>
        <v>0</v>
      </c>
    </row>
    <row r="226" spans="1:11" ht="15">
      <c r="A226" s="639">
        <f t="shared" si="56"/>
        <v>27666.666666666668</v>
      </c>
      <c r="B226" s="640">
        <f t="shared" si="59"/>
        <v>8300</v>
      </c>
      <c r="C226" s="278">
        <f t="shared" si="60"/>
        <v>9.870874272244945</v>
      </c>
      <c r="D226" s="278">
        <f>C226*Conversions!$B$53</f>
        <v>250.7202051954416</v>
      </c>
      <c r="E226" s="279">
        <f>C226*Conversions!$B$59</f>
        <v>4.848137020463433</v>
      </c>
      <c r="F226" s="280">
        <f>H226*Conversions!$D$67</f>
        <v>0.3408805105637498</v>
      </c>
      <c r="G226" s="281">
        <f t="shared" si="57"/>
        <v>3.342661156766858</v>
      </c>
      <c r="H226" s="282">
        <f>C226*Conversions!$B$50</f>
        <v>334.2661156766858</v>
      </c>
      <c r="K226">
        <f t="shared" si="58"/>
        <v>0</v>
      </c>
    </row>
    <row r="227" spans="1:11" ht="15">
      <c r="A227" s="639">
        <f t="shared" si="56"/>
        <v>28000</v>
      </c>
      <c r="B227" s="640">
        <f t="shared" si="59"/>
        <v>8400</v>
      </c>
      <c r="C227" s="278">
        <f t="shared" si="60"/>
        <v>9.724922567533818</v>
      </c>
      <c r="D227" s="278">
        <f>C227*Conversions!$B$53</f>
        <v>247.0130319152904</v>
      </c>
      <c r="E227" s="279">
        <f>C227*Conversions!$B$59</f>
        <v>4.7764519960883</v>
      </c>
      <c r="F227" s="280">
        <f>H227*Conversions!$D$67</f>
        <v>0.335840218260618</v>
      </c>
      <c r="G227" s="281">
        <f t="shared" si="57"/>
        <v>3.2932362445811583</v>
      </c>
      <c r="H227" s="282">
        <f>C227*Conversions!$B$50</f>
        <v>329.32362445811583</v>
      </c>
      <c r="K227">
        <f t="shared" si="58"/>
        <v>0</v>
      </c>
    </row>
    <row r="228" spans="1:11" ht="15">
      <c r="A228" s="639">
        <f t="shared" si="56"/>
        <v>28333.333333333336</v>
      </c>
      <c r="B228" s="640">
        <f t="shared" si="59"/>
        <v>8500</v>
      </c>
      <c r="C228" s="278">
        <f t="shared" si="60"/>
        <v>9.580723257349995</v>
      </c>
      <c r="D228" s="278">
        <f>C228*Conversions!$B$53</f>
        <v>243.35036945589846</v>
      </c>
      <c r="E228" s="279">
        <f>C228*Conversions!$B$59</f>
        <v>4.705627670426162</v>
      </c>
      <c r="F228" s="280">
        <f>H228*Conversions!$D$67</f>
        <v>0.33086044310365775</v>
      </c>
      <c r="G228" s="281">
        <f t="shared" si="57"/>
        <v>3.2444047611998563</v>
      </c>
      <c r="H228" s="282">
        <f>C228*Conversions!$B$50</f>
        <v>324.44047611998565</v>
      </c>
      <c r="K228">
        <f t="shared" si="58"/>
        <v>0</v>
      </c>
    </row>
    <row r="229" spans="1:11" ht="15">
      <c r="A229" s="639">
        <f t="shared" si="56"/>
        <v>28666.666666666668</v>
      </c>
      <c r="B229" s="640">
        <f t="shared" si="59"/>
        <v>8600</v>
      </c>
      <c r="C229" s="278">
        <f t="shared" si="60"/>
        <v>9.438260199509973</v>
      </c>
      <c r="D229" s="278">
        <f>C229*Conversions!$B$53</f>
        <v>239.73180780580697</v>
      </c>
      <c r="E229" s="279">
        <f>C229*Conversions!$B$59</f>
        <v>4.635656115150183</v>
      </c>
      <c r="F229" s="280">
        <f>H229*Conversions!$D$67</f>
        <v>0.3259406276391321</v>
      </c>
      <c r="G229" s="281">
        <f t="shared" si="57"/>
        <v>3.196161240253078</v>
      </c>
      <c r="H229" s="282">
        <f>C229*Conversions!$B$50</f>
        <v>319.6161240253078</v>
      </c>
      <c r="K229">
        <f t="shared" si="58"/>
        <v>0</v>
      </c>
    </row>
    <row r="230" spans="1:11" ht="15">
      <c r="A230" s="639">
        <f t="shared" si="56"/>
        <v>29000</v>
      </c>
      <c r="B230" s="640">
        <f t="shared" si="59"/>
        <v>8700</v>
      </c>
      <c r="C230" s="278">
        <f t="shared" si="60"/>
        <v>9.29751735514735</v>
      </c>
      <c r="D230" s="278">
        <f>C230*Conversions!$B$53</f>
        <v>236.15693957781147</v>
      </c>
      <c r="E230" s="279">
        <f>C230*Conversions!$B$59</f>
        <v>4.566529452678312</v>
      </c>
      <c r="F230" s="280">
        <f>H230*Conversions!$D$67</f>
        <v>0.32108021798125347</v>
      </c>
      <c r="G230" s="281">
        <f t="shared" si="57"/>
        <v>3.1485002503581243</v>
      </c>
      <c r="H230" s="282">
        <f>C230*Conversions!$B$50</f>
        <v>314.85002503581245</v>
      </c>
      <c r="K230">
        <f t="shared" si="58"/>
        <v>0</v>
      </c>
    </row>
    <row r="231" spans="1:11" ht="15">
      <c r="A231" s="639">
        <f t="shared" si="56"/>
        <v>29333.333333333336</v>
      </c>
      <c r="B231" s="640">
        <f t="shared" si="59"/>
        <v>8800</v>
      </c>
      <c r="C231" s="278">
        <f t="shared" si="60"/>
        <v>9.158478788343665</v>
      </c>
      <c r="D231" s="278">
        <f>C231*Conversions!$B$53</f>
        <v>232.6253599995851</v>
      </c>
      <c r="E231" s="279">
        <f>C231*Conversions!$B$59</f>
        <v>4.498239855991977</v>
      </c>
      <c r="F231" s="280">
        <f>H231*Conversions!$D$67</f>
        <v>0.316278663799436</v>
      </c>
      <c r="G231" s="281">
        <f t="shared" si="57"/>
        <v>3.1014163949944686</v>
      </c>
      <c r="H231" s="282">
        <f>C231*Conversions!$B$50</f>
        <v>310.14163949944685</v>
      </c>
      <c r="K231">
        <f t="shared" si="58"/>
        <v>0</v>
      </c>
    </row>
    <row r="232" spans="1:11" ht="15">
      <c r="A232" s="639">
        <f t="shared" si="56"/>
        <v>29666.666666666668</v>
      </c>
      <c r="B232" s="640">
        <f t="shared" si="59"/>
        <v>8900</v>
      </c>
      <c r="C232" s="278">
        <f t="shared" si="60"/>
        <v>9.021128665759514</v>
      </c>
      <c r="D232" s="278">
        <f>C232*Conversions!$B$53</f>
        <v>229.1366669043092</v>
      </c>
      <c r="E232" s="279">
        <f>C232*Conversions!$B$59</f>
        <v>4.430779548454905</v>
      </c>
      <c r="F232" s="280">
        <f>H232*Conversions!$D$67</f>
        <v>0.31153541830555626</v>
      </c>
      <c r="G232" s="281">
        <f t="shared" si="57"/>
        <v>3.0549043123788326</v>
      </c>
      <c r="H232" s="282">
        <f>C232*Conversions!$B$50</f>
        <v>305.4904312378833</v>
      </c>
      <c r="K232">
        <f t="shared" si="58"/>
        <v>0</v>
      </c>
    </row>
    <row r="233" spans="1:11" ht="15">
      <c r="A233" s="639">
        <f t="shared" si="56"/>
        <v>30000</v>
      </c>
      <c r="B233" s="640">
        <f t="shared" si="59"/>
        <v>9000</v>
      </c>
      <c r="C233" s="278">
        <f t="shared" si="60"/>
        <v>8.885451256265807</v>
      </c>
      <c r="D233" s="278">
        <f>C233*Conversions!$B$53</f>
        <v>225.69046072130698</v>
      </c>
      <c r="E233" s="279">
        <f>C233*Conversions!$B$59</f>
        <v>4.364140803632009</v>
      </c>
      <c r="F233" s="280">
        <f>H233*Conversions!$D$67</f>
        <v>0.3068499382412191</v>
      </c>
      <c r="G233" s="281">
        <f t="shared" si="57"/>
        <v>3.0089586753403195</v>
      </c>
      <c r="H233" s="282">
        <f>C233*Conversions!$B$50</f>
        <v>300.89586753403194</v>
      </c>
      <c r="K233">
        <f t="shared" si="58"/>
        <v>0</v>
      </c>
    </row>
    <row r="234" spans="1:11" ht="15">
      <c r="A234" s="639">
        <f t="shared" si="56"/>
        <v>30333.333333333336</v>
      </c>
      <c r="B234" s="640">
        <f t="shared" si="59"/>
        <v>9100</v>
      </c>
      <c r="C234" s="278">
        <f t="shared" si="60"/>
        <v>8.751430930575477</v>
      </c>
      <c r="D234" s="278">
        <f>C234*Conversions!$B$53</f>
        <v>222.286344466689</v>
      </c>
      <c r="E234" s="279">
        <f>C234*Conversions!$B$59</f>
        <v>4.298315945108501</v>
      </c>
      <c r="F234" s="280">
        <f>H234*Conversions!$D$67</f>
        <v>0.3022216838650392</v>
      </c>
      <c r="G234" s="281">
        <f t="shared" si="57"/>
        <v>2.9635741911956925</v>
      </c>
      <c r="H234" s="282">
        <f>C234*Conversions!$B$50</f>
        <v>296.3574191195693</v>
      </c>
      <c r="K234">
        <f t="shared" si="58"/>
        <v>0</v>
      </c>
    </row>
    <row r="235" spans="1:11" ht="15">
      <c r="A235" s="639">
        <f t="shared" si="56"/>
        <v>30666.666666666668</v>
      </c>
      <c r="B235" s="640">
        <f t="shared" si="59"/>
        <v>9200</v>
      </c>
      <c r="C235" s="278">
        <f t="shared" si="60"/>
        <v>8.619052160875333</v>
      </c>
      <c r="D235" s="278">
        <f>C235*Conversions!$B$53</f>
        <v>218.92392373400227</v>
      </c>
      <c r="E235" s="279">
        <f>C235*Conversions!$B$59</f>
        <v>4.233297346309075</v>
      </c>
      <c r="F235" s="280">
        <f>H235*Conversions!$D$67</f>
        <v>0.2976501189399271</v>
      </c>
      <c r="G235" s="281">
        <f t="shared" si="57"/>
        <v>2.918745601624708</v>
      </c>
      <c r="H235" s="282">
        <f>C235*Conversions!$B$50</f>
        <v>291.8745601624708</v>
      </c>
      <c r="K235">
        <f t="shared" si="58"/>
        <v>0</v>
      </c>
    </row>
    <row r="236" spans="1:11" ht="15">
      <c r="A236" s="639">
        <f t="shared" si="56"/>
        <v>31000</v>
      </c>
      <c r="B236" s="640">
        <f t="shared" si="59"/>
        <v>9300</v>
      </c>
      <c r="C236" s="278">
        <f t="shared" si="60"/>
        <v>8.48829952045821</v>
      </c>
      <c r="D236" s="278">
        <f>C236*Conversions!$B$53</f>
        <v>215.60280668488693</v>
      </c>
      <c r="E236" s="279">
        <f>C236*Conversions!$B$59</f>
        <v>4.169077430317234</v>
      </c>
      <c r="F236" s="280">
        <f>H236*Conversions!$D$67</f>
        <v>0.2931347107203865</v>
      </c>
      <c r="G236" s="281">
        <f t="shared" si="57"/>
        <v>2.8744676825455486</v>
      </c>
      <c r="H236" s="282">
        <f>C236*Conversions!$B$50</f>
        <v>287.44676825455485</v>
      </c>
      <c r="K236">
        <f t="shared" si="58"/>
        <v>0</v>
      </c>
    </row>
    <row r="237" spans="1:11" ht="15">
      <c r="A237" s="639">
        <f t="shared" si="56"/>
        <v>31333.333333333336</v>
      </c>
      <c r="B237" s="640">
        <f t="shared" si="59"/>
        <v>9400</v>
      </c>
      <c r="C237" s="278">
        <f t="shared" si="60"/>
        <v>8.359157683355447</v>
      </c>
      <c r="D237" s="278">
        <f>C237*Conversions!$B$53</f>
        <v>212.32260403974098</v>
      </c>
      <c r="E237" s="279">
        <f>C237*Conversions!$B$59</f>
        <v>4.10564866969478</v>
      </c>
      <c r="F237" s="280">
        <f>H237*Conversions!$D$67</f>
        <v>0.2886749299398215</v>
      </c>
      <c r="G237" s="281">
        <f t="shared" si="57"/>
        <v>2.8307352439903624</v>
      </c>
      <c r="H237" s="282">
        <f>C237*Conversions!$B$50</f>
        <v>283.0735243990362</v>
      </c>
      <c r="K237">
        <f t="shared" si="58"/>
        <v>0</v>
      </c>
    </row>
    <row r="238" spans="1:11" ht="15">
      <c r="A238" s="639">
        <f t="shared" si="56"/>
        <v>31666.666666666668</v>
      </c>
      <c r="B238" s="640">
        <f t="shared" si="59"/>
        <v>9500</v>
      </c>
      <c r="C238" s="278">
        <f t="shared" si="60"/>
        <v>8.231611423969554</v>
      </c>
      <c r="D238" s="278">
        <f>C238*Conversions!$B$53</f>
        <v>209.0829290683902</v>
      </c>
      <c r="E238" s="279">
        <f>C238*Conversions!$B$59</f>
        <v>4.043003586301397</v>
      </c>
      <c r="F238" s="280">
        <f>H238*Conversions!$D$67</f>
        <v>0.2842702507978522</v>
      </c>
      <c r="G238" s="281">
        <f t="shared" si="57"/>
        <v>2.7875431299808735</v>
      </c>
      <c r="H238" s="282">
        <f>C238*Conversions!$B$50</f>
        <v>278.75431299808736</v>
      </c>
      <c r="K238">
        <f t="shared" si="58"/>
        <v>0</v>
      </c>
    </row>
    <row r="239" spans="1:11" ht="15">
      <c r="A239" s="639">
        <f t="shared" si="56"/>
        <v>32000</v>
      </c>
      <c r="B239" s="640">
        <f t="shared" si="59"/>
        <v>9600</v>
      </c>
      <c r="C239" s="278">
        <f t="shared" si="60"/>
        <v>8.105645616707225</v>
      </c>
      <c r="D239" s="278">
        <f>C239*Conversions!$B$53</f>
        <v>205.88339758076668</v>
      </c>
      <c r="E239" s="279">
        <f>C239*Conversions!$B$59</f>
        <v>3.981134751114404</v>
      </c>
      <c r="F239" s="280">
        <f>H239*Conversions!$D$67</f>
        <v>0.27992015094763983</v>
      </c>
      <c r="G239" s="281">
        <f t="shared" si="57"/>
        <v>2.7448862184041034</v>
      </c>
      <c r="H239" s="282">
        <f>C239*Conversions!$B$50</f>
        <v>274.48862184041036</v>
      </c>
      <c r="K239">
        <f t="shared" si="58"/>
        <v>0</v>
      </c>
    </row>
    <row r="240" spans="1:11" ht="15">
      <c r="A240" s="639">
        <f t="shared" si="56"/>
        <v>32333.333333333336</v>
      </c>
      <c r="B240" s="640">
        <f t="shared" si="59"/>
        <v>9700</v>
      </c>
      <c r="C240" s="278">
        <f t="shared" si="60"/>
        <v>7.981245235612576</v>
      </c>
      <c r="D240" s="278">
        <f>C240*Conversions!$B$53</f>
        <v>202.72362791759298</v>
      </c>
      <c r="E240" s="279">
        <f>C240*Conversions!$B$59</f>
        <v>3.9200347840486134</v>
      </c>
      <c r="F240" s="280">
        <f>H240*Conversions!$D$67</f>
        <v>0.2756241114832222</v>
      </c>
      <c r="G240" s="281">
        <f t="shared" si="57"/>
        <v>2.7027594208881722</v>
      </c>
      <c r="H240" s="282">
        <f>C240*Conversions!$B$50</f>
        <v>270.2759420888172</v>
      </c>
      <c r="K240">
        <f t="shared" si="58"/>
        <v>0</v>
      </c>
    </row>
    <row r="241" spans="1:11" ht="15">
      <c r="A241" s="639">
        <f t="shared" si="56"/>
        <v>32666.666666666668</v>
      </c>
      <c r="B241" s="640">
        <f t="shared" si="59"/>
        <v>9800</v>
      </c>
      <c r="C241" s="278">
        <f t="shared" si="60"/>
        <v>7.8583953540006934</v>
      </c>
      <c r="D241" s="278">
        <f>C241*Conversions!$B$53</f>
        <v>199.60324094107426</v>
      </c>
      <c r="E241" s="279">
        <f>C241*Conversions!$B$59</f>
        <v>3.8596963537763513</v>
      </c>
      <c r="F241" s="280">
        <f>H241*Conversions!$D$67</f>
        <v>0.27138161692685797</v>
      </c>
      <c r="G241" s="281">
        <f t="shared" si="57"/>
        <v>2.661157682678204</v>
      </c>
      <c r="H241" s="282">
        <f>C241*Conversions!$B$50</f>
        <v>266.1157682678204</v>
      </c>
      <c r="K241">
        <f t="shared" si="58"/>
        <v>0</v>
      </c>
    </row>
    <row r="242" spans="1:11" ht="15">
      <c r="A242" s="639">
        <f t="shared" si="56"/>
        <v>33000</v>
      </c>
      <c r="B242" s="640">
        <f t="shared" si="59"/>
        <v>9900</v>
      </c>
      <c r="C242" s="278">
        <f t="shared" si="60"/>
        <v>7.737081144091431</v>
      </c>
      <c r="D242" s="278">
        <f>C242*Conversions!$B$53</f>
        <v>196.5218600255968</v>
      </c>
      <c r="E242" s="279">
        <f>C242*Conversions!$B$59</f>
        <v>3.800112177547592</v>
      </c>
      <c r="F242" s="280">
        <f>H242*Conversions!$D$67</f>
        <v>0.2671921552163805</v>
      </c>
      <c r="G242" s="281">
        <f t="shared" si="57"/>
        <v>2.620075982512315</v>
      </c>
      <c r="H242" s="282">
        <f>C242*Conversions!$B$50</f>
        <v>262.0075982512315</v>
      </c>
      <c r="K242">
        <f t="shared" si="58"/>
        <v>0</v>
      </c>
    </row>
    <row r="243" spans="1:11" ht="15">
      <c r="A243" s="639">
        <f t="shared" si="56"/>
        <v>33333.333333333336</v>
      </c>
      <c r="B243" s="640">
        <f t="shared" si="59"/>
        <v>10000</v>
      </c>
      <c r="C243" s="278">
        <f t="shared" si="60"/>
        <v>7.617287876643469</v>
      </c>
      <c r="D243" s="278">
        <f>C243*Conversions!$B$53</f>
        <v>193.47911104843303</v>
      </c>
      <c r="E243" s="279">
        <f>C243*Conversions!$B$59</f>
        <v>3.7412750210102255</v>
      </c>
      <c r="F243" s="280">
        <f>H243*Conversions!$D$67</f>
        <v>0.2630552176925604</v>
      </c>
      <c r="G243" s="281">
        <f t="shared" si="57"/>
        <v>2.5795093324976945</v>
      </c>
      <c r="H243" s="282">
        <f>C243*Conversions!$B$50</f>
        <v>257.95093324976943</v>
      </c>
      <c r="K243">
        <f t="shared" si="58"/>
        <v>0</v>
      </c>
    </row>
    <row r="244" spans="1:11" ht="15">
      <c r="A244" s="639">
        <f t="shared" si="56"/>
        <v>33666.66666666667</v>
      </c>
      <c r="B244" s="640">
        <f t="shared" si="59"/>
        <v>10100</v>
      </c>
      <c r="C244" s="278">
        <f t="shared" si="60"/>
        <v>7.499000920588744</v>
      </c>
      <c r="D244" s="278">
        <f>C244*Conversions!$B$53</f>
        <v>190.47462238045608</v>
      </c>
      <c r="E244" s="279">
        <f>C244*Conversions!$B$59</f>
        <v>3.6831776980305033</v>
      </c>
      <c r="F244" s="280">
        <f>H244*Conversions!$D$67</f>
        <v>0.25897029908648067</v>
      </c>
      <c r="G244" s="281">
        <f t="shared" si="57"/>
        <v>2.539452777986804</v>
      </c>
      <c r="H244" s="282">
        <f>C244*Conversions!$B$50</f>
        <v>253.94527779868042</v>
      </c>
      <c r="K244">
        <f t="shared" si="58"/>
        <v>0</v>
      </c>
    </row>
    <row r="245" spans="1:11" ht="15">
      <c r="A245" s="639">
        <f t="shared" si="56"/>
        <v>34000</v>
      </c>
      <c r="B245" s="640">
        <f t="shared" si="59"/>
        <v>10200</v>
      </c>
      <c r="C245" s="278">
        <f t="shared" si="60"/>
        <v>7.382205742667003</v>
      </c>
      <c r="D245" s="278">
        <f>C245*Conversions!$B$53</f>
        <v>187.50802487685755</v>
      </c>
      <c r="E245" s="279">
        <f>C245*Conversions!$B$59</f>
        <v>3.6258130705135505</v>
      </c>
      <c r="F245" s="280">
        <f>H245*Conversions!$D$67</f>
        <v>0.25493689750691706</v>
      </c>
      <c r="G245" s="281">
        <f t="shared" si="57"/>
        <v>2.4999013974536304</v>
      </c>
      <c r="H245" s="282">
        <f>C245*Conversions!$B$50</f>
        <v>249.99013974536305</v>
      </c>
      <c r="K245">
        <f t="shared" si="58"/>
        <v>0</v>
      </c>
    </row>
    <row r="246" spans="1:11" ht="15">
      <c r="A246" s="639">
        <f t="shared" si="56"/>
        <v>34333.333333333336</v>
      </c>
      <c r="B246" s="640">
        <f t="shared" si="59"/>
        <v>10300</v>
      </c>
      <c r="C246" s="278">
        <f t="shared" si="60"/>
        <v>7.266887907060781</v>
      </c>
      <c r="D246" s="278">
        <f>C246*Conversions!$B$53</f>
        <v>184.57895186787567</v>
      </c>
      <c r="E246" s="279">
        <f>C246*Conversions!$B$59</f>
        <v>3.5691740482240797</v>
      </c>
      <c r="F246" s="280">
        <f>H246*Conversions!$D$67</f>
        <v>0.25095451442773153</v>
      </c>
      <c r="G246" s="281">
        <f t="shared" si="57"/>
        <v>2.460850302370066</v>
      </c>
      <c r="H246" s="282">
        <f>C246*Conversions!$B$50</f>
        <v>246.0850302370066</v>
      </c>
      <c r="K246">
        <f t="shared" si="58"/>
        <v>0</v>
      </c>
    </row>
    <row r="247" spans="1:11" ht="15">
      <c r="A247" s="639">
        <f t="shared" si="56"/>
        <v>34666.66666666667</v>
      </c>
      <c r="B247" s="640">
        <f t="shared" si="59"/>
        <v>10400</v>
      </c>
      <c r="C247" s="278">
        <f t="shared" si="60"/>
        <v>7.153033075030556</v>
      </c>
      <c r="D247" s="278">
        <f>C247*Conversions!$B$53</f>
        <v>181.68703914952854</v>
      </c>
      <c r="E247" s="279">
        <f>C247*Conversions!$B$59</f>
        <v>3.513253588607199</v>
      </c>
      <c r="F247" s="280">
        <f>H247*Conversions!$D$67</f>
        <v>0.24702265467527354</v>
      </c>
      <c r="G247" s="281">
        <f t="shared" si="57"/>
        <v>2.422294637082366</v>
      </c>
      <c r="H247" s="282">
        <f>C247*Conversions!$B$50</f>
        <v>242.22946370823658</v>
      </c>
      <c r="K247">
        <f t="shared" si="58"/>
        <v>0</v>
      </c>
    </row>
    <row r="248" spans="1:11" ht="15">
      <c r="A248" s="639">
        <f t="shared" si="56"/>
        <v>35000</v>
      </c>
      <c r="B248" s="640">
        <f t="shared" si="59"/>
        <v>10500</v>
      </c>
      <c r="C248" s="278">
        <f t="shared" si="60"/>
        <v>7.040627004550249</v>
      </c>
      <c r="D248" s="278">
        <f>C248*Conversions!$B$53</f>
        <v>178.83192497435567</v>
      </c>
      <c r="E248" s="279">
        <f>C248*Conversions!$B$59</f>
        <v>3.4580446966093827</v>
      </c>
      <c r="F248" s="280">
        <f>H248*Conversions!$D$67</f>
        <v>0.2431408264157918</v>
      </c>
      <c r="G248" s="281">
        <f t="shared" si="57"/>
        <v>2.3842295786877092</v>
      </c>
      <c r="H248" s="282">
        <f>C248*Conversions!$B$50</f>
        <v>238.4229578687709</v>
      </c>
      <c r="K248">
        <f t="shared" si="58"/>
        <v>0</v>
      </c>
    </row>
    <row r="249" spans="1:11" ht="15">
      <c r="A249" s="639">
        <f t="shared" si="56"/>
        <v>35333.333333333336</v>
      </c>
      <c r="B249" s="640">
        <f t="shared" si="59"/>
        <v>10600</v>
      </c>
      <c r="C249" s="278">
        <f t="shared" si="60"/>
        <v>6.929655549942953</v>
      </c>
      <c r="D249" s="278">
        <f>C249*Conversions!$B$53</f>
        <v>176.01325004216548</v>
      </c>
      <c r="E249" s="279">
        <f>C249*Conversions!$B$59</f>
        <v>3.4035404244995577</v>
      </c>
      <c r="F249" s="280">
        <f>H249*Conversions!$D$67</f>
        <v>0.2393085411428548</v>
      </c>
      <c r="G249" s="281">
        <f t="shared" si="57"/>
        <v>2.3466503369108445</v>
      </c>
      <c r="H249" s="282">
        <f>C249*Conversions!$B$50</f>
        <v>234.66503369108446</v>
      </c>
      <c r="K249">
        <f t="shared" si="58"/>
        <v>0</v>
      </c>
    </row>
    <row r="250" spans="1:11" ht="15">
      <c r="A250" s="639">
        <f t="shared" si="56"/>
        <v>35666.66666666667</v>
      </c>
      <c r="B250" s="640">
        <f t="shared" si="59"/>
        <v>10700</v>
      </c>
      <c r="C250" s="278">
        <f t="shared" si="60"/>
        <v>6.820104661516985</v>
      </c>
      <c r="D250" s="278">
        <f>C250*Conversions!$B$53</f>
        <v>173.23065749079112</v>
      </c>
      <c r="E250" s="279">
        <f>C250*Conversions!$B$59</f>
        <v>3.34973387169035</v>
      </c>
      <c r="F250" s="280">
        <f>H250*Conversions!$D$67</f>
        <v>0.23552531366478224</v>
      </c>
      <c r="G250" s="281">
        <f t="shared" si="57"/>
        <v>2.3095521539808437</v>
      </c>
      <c r="H250" s="282">
        <f>C250*Conversions!$B$50</f>
        <v>230.95521539808436</v>
      </c>
      <c r="K250">
        <f t="shared" si="58"/>
        <v>0</v>
      </c>
    </row>
    <row r="251" spans="1:11" ht="15">
      <c r="A251" s="644">
        <f t="shared" si="56"/>
        <v>36000</v>
      </c>
      <c r="B251" s="645">
        <f t="shared" si="59"/>
        <v>10800</v>
      </c>
      <c r="C251" s="646">
        <f t="shared" si="60"/>
        <v>6.711960385202199</v>
      </c>
      <c r="D251" s="646">
        <f>C251*Conversions!$B$53</f>
        <v>170.48379288685277</v>
      </c>
      <c r="E251" s="647">
        <f>C251*Conversions!$B$59</f>
        <v>3.2966181845594575</v>
      </c>
      <c r="F251" s="648">
        <f>H251*Conversions!$D$67</f>
        <v>0.23179066209208551</v>
      </c>
      <c r="G251" s="649">
        <f t="shared" si="57"/>
        <v>2.2729303045079416</v>
      </c>
      <c r="H251" s="650">
        <f>C251*Conversions!$B$50</f>
        <v>227.29303045079416</v>
      </c>
      <c r="I251" s="578"/>
      <c r="J251" s="651"/>
      <c r="K251" s="652">
        <f t="shared" si="58"/>
        <v>0</v>
      </c>
    </row>
    <row r="252" spans="1:12" ht="15">
      <c r="A252" s="653">
        <f t="shared" si="56"/>
        <v>36333.333333333336</v>
      </c>
      <c r="B252" s="654">
        <f t="shared" si="59"/>
        <v>10900</v>
      </c>
      <c r="C252" s="573">
        <f>C$19*EXP((-G$18*H$18*(A252-B$19))/(F$18*D$19))</f>
        <v>6.60528286257477</v>
      </c>
      <c r="D252" s="573">
        <f>C252*Conversions!$B$53</f>
        <v>167.77418382637714</v>
      </c>
      <c r="E252" s="380">
        <f>C252*Conversions!$B$59</f>
        <v>3.2442229019900504</v>
      </c>
      <c r="F252" s="655">
        <f>H252*Conversions!$D$67</f>
        <v>0.22810666335236254</v>
      </c>
      <c r="G252" s="656">
        <f t="shared" si="57"/>
        <v>2.2368051547641663</v>
      </c>
      <c r="H252" s="574">
        <f>C252*Conversions!$B$50</f>
        <v>223.68051547641662</v>
      </c>
      <c r="K252" s="657">
        <f>K251+1</f>
        <v>1</v>
      </c>
      <c r="L252" s="420" t="s">
        <v>324</v>
      </c>
    </row>
    <row r="253" spans="1:11" ht="15">
      <c r="A253" s="639">
        <f t="shared" si="56"/>
        <v>36666.66666666667</v>
      </c>
      <c r="B253" s="640">
        <f t="shared" si="59"/>
        <v>11000</v>
      </c>
      <c r="C253" s="573">
        <f aca="true" t="shared" si="61" ref="C253:C316">C$19*EXP((-G$18*H$18*(A253-B$19))/(F$18*D$19))</f>
        <v>6.500301881517413</v>
      </c>
      <c r="D253" s="278">
        <f>C253*Conversions!$B$53</f>
        <v>165.1076669215546</v>
      </c>
      <c r="E253" s="279">
        <f>C253*Conversions!$B$59</f>
        <v>3.1926608856304814</v>
      </c>
      <c r="F253" s="280">
        <f>H253*Conversions!$D$67</f>
        <v>0.2244812529342663</v>
      </c>
      <c r="G253" s="281">
        <f t="shared" si="57"/>
        <v>2.2012545198455946</v>
      </c>
      <c r="H253" s="282">
        <f>C253*Conversions!$B$50</f>
        <v>220.12545198455945</v>
      </c>
      <c r="J253" s="517">
        <v>0</v>
      </c>
      <c r="K253">
        <f t="shared" si="58"/>
        <v>1</v>
      </c>
    </row>
    <row r="254" spans="1:11" ht="15">
      <c r="A254" s="639">
        <f t="shared" si="56"/>
        <v>37000</v>
      </c>
      <c r="B254" s="640">
        <f t="shared" si="59"/>
        <v>11100</v>
      </c>
      <c r="C254" s="573">
        <f t="shared" si="61"/>
        <v>6.396989414377336</v>
      </c>
      <c r="D254" s="278">
        <f>C254*Conversions!$B$53</f>
        <v>162.48353027000786</v>
      </c>
      <c r="E254" s="279">
        <f>C254*Conversions!$B$59</f>
        <v>3.1419183695368886</v>
      </c>
      <c r="F254" s="280">
        <f>H254*Conversions!$D$67</f>
        <v>0.22091346293157785</v>
      </c>
      <c r="G254" s="281">
        <f t="shared" si="57"/>
        <v>2.1662689085011246</v>
      </c>
      <c r="H254" s="282">
        <f>C254*Conversions!$B$50</f>
        <v>216.62689085011246</v>
      </c>
      <c r="I254" s="79" t="str">
        <f>CONCATENATE("L",M137,"/F",N137)</f>
        <v>L1/F2</v>
      </c>
      <c r="J254" s="642">
        <v>36089</v>
      </c>
      <c r="K254">
        <f t="shared" si="58"/>
        <v>1</v>
      </c>
    </row>
    <row r="255" spans="1:11" ht="15">
      <c r="A255" s="639">
        <f t="shared" si="56"/>
        <v>37333.333333333336</v>
      </c>
      <c r="B255" s="640">
        <f t="shared" si="59"/>
        <v>11200</v>
      </c>
      <c r="C255" s="573">
        <f t="shared" si="61"/>
        <v>6.295318942649334</v>
      </c>
      <c r="D255" s="278">
        <f>C255*Conversions!$B$53</f>
        <v>159.90110030170834</v>
      </c>
      <c r="E255" s="279">
        <f>C255*Conversions!$B$59</f>
        <v>3.091982328991981</v>
      </c>
      <c r="F255" s="280">
        <f>H255*Conversions!$D$67</f>
        <v>0.21740237755494116</v>
      </c>
      <c r="G255" s="281">
        <f t="shared" si="57"/>
        <v>2.131839340535605</v>
      </c>
      <c r="H255" s="282">
        <f>C255*Conversions!$B$50</f>
        <v>213.1839340535605</v>
      </c>
      <c r="J255" s="642">
        <v>65617</v>
      </c>
      <c r="K255">
        <f t="shared" si="58"/>
        <v>1</v>
      </c>
    </row>
    <row r="256" spans="1:11" ht="15">
      <c r="A256" s="639">
        <f t="shared" si="56"/>
        <v>37666.66666666667</v>
      </c>
      <c r="B256" s="640">
        <f t="shared" si="59"/>
        <v>11300</v>
      </c>
      <c r="C256" s="573">
        <f t="shared" si="61"/>
        <v>6.195264369299742</v>
      </c>
      <c r="D256" s="278">
        <f>C256*Conversions!$B$53</f>
        <v>157.35971415200444</v>
      </c>
      <c r="E256" s="279">
        <f>C256*Conversions!$B$59</f>
        <v>3.0428399462866538</v>
      </c>
      <c r="F256" s="280">
        <f>H256*Conversions!$D$67</f>
        <v>0.21394709557008712</v>
      </c>
      <c r="G256" s="281">
        <f t="shared" si="57"/>
        <v>2.0979569784805063</v>
      </c>
      <c r="H256" s="282">
        <f>C256*Conversions!$B$50</f>
        <v>209.79569784805065</v>
      </c>
      <c r="J256" s="517">
        <v>104987</v>
      </c>
      <c r="K256">
        <f t="shared" si="58"/>
        <v>1</v>
      </c>
    </row>
    <row r="257" spans="1:11" ht="15">
      <c r="A257" s="639">
        <f t="shared" si="56"/>
        <v>38000</v>
      </c>
      <c r="B257" s="640">
        <f t="shared" si="59"/>
        <v>11400</v>
      </c>
      <c r="C257" s="573">
        <f t="shared" si="61"/>
        <v>6.0968000120677734</v>
      </c>
      <c r="D257" s="278">
        <f>C257*Conversions!$B$53</f>
        <v>154.85871949147557</v>
      </c>
      <c r="E257" s="279">
        <f>C257*Conversions!$B$59</f>
        <v>2.994478607429901</v>
      </c>
      <c r="F257" s="280">
        <f>H257*Conversions!$D$67</f>
        <v>0.2105467300665023</v>
      </c>
      <c r="G257" s="281">
        <f t="shared" si="57"/>
        <v>2.064613125325495</v>
      </c>
      <c r="H257" s="282">
        <f>C257*Conversions!$B$50</f>
        <v>206.4613125325495</v>
      </c>
      <c r="J257" s="517">
        <v>154199</v>
      </c>
      <c r="K257">
        <f t="shared" si="58"/>
        <v>1</v>
      </c>
    </row>
    <row r="258" spans="1:11" ht="15">
      <c r="A258" s="639">
        <f t="shared" si="56"/>
        <v>38333.333333333336</v>
      </c>
      <c r="B258" s="640">
        <f t="shared" si="59"/>
        <v>11500</v>
      </c>
      <c r="C258" s="573">
        <f t="shared" si="61"/>
        <v>5.999900596873329</v>
      </c>
      <c r="D258" s="278">
        <f>C258*Conversions!$B$53</f>
        <v>152.3974743584906</v>
      </c>
      <c r="E258" s="279">
        <f>C258*Conversions!$B$59</f>
        <v>2.946885898911023</v>
      </c>
      <c r="F258" s="280">
        <f>H258*Conversions!$D$67</f>
        <v>0.20720040822977417</v>
      </c>
      <c r="G258" s="281">
        <f t="shared" si="57"/>
        <v>2.0317992222860606</v>
      </c>
      <c r="H258" s="282">
        <f>C258*Conversions!$B$50</f>
        <v>203.17992222860605</v>
      </c>
      <c r="J258" s="517">
        <v>167323</v>
      </c>
      <c r="K258">
        <f t="shared" si="58"/>
        <v>1</v>
      </c>
    </row>
    <row r="259" spans="1:11" ht="15">
      <c r="A259" s="639">
        <f t="shared" si="56"/>
        <v>38666.66666666667</v>
      </c>
      <c r="B259" s="640">
        <f t="shared" si="59"/>
        <v>11600</v>
      </c>
      <c r="C259" s="573">
        <f t="shared" si="61"/>
        <v>5.904541251329593</v>
      </c>
      <c r="D259" s="278">
        <f>C259*Conversions!$B$53</f>
        <v>149.97534699442772</v>
      </c>
      <c r="E259" s="279">
        <f>C259*Conversions!$B$59</f>
        <v>2.900049604513302</v>
      </c>
      <c r="F259" s="280">
        <f>H259*Conversions!$D$67</f>
        <v>0.20390727111755555</v>
      </c>
      <c r="G259" s="281">
        <f t="shared" si="57"/>
        <v>1.9995068466066304</v>
      </c>
      <c r="H259" s="282">
        <f>C259*Conversions!$B$50</f>
        <v>199.95068466066303</v>
      </c>
      <c r="J259" s="506">
        <v>232940</v>
      </c>
      <c r="K259">
        <f t="shared" si="58"/>
        <v>1</v>
      </c>
    </row>
    <row r="260" spans="1:11" ht="15">
      <c r="A260" s="639">
        <f t="shared" si="56"/>
        <v>39000</v>
      </c>
      <c r="B260" s="640">
        <f t="shared" si="59"/>
        <v>11700</v>
      </c>
      <c r="C260" s="573">
        <f t="shared" si="61"/>
        <v>5.810697498358721</v>
      </c>
      <c r="D260" s="278">
        <f>C260*Conversions!$B$53</f>
        <v>147.59171568151302</v>
      </c>
      <c r="E260" s="279">
        <f>C260*Conversions!$B$59</f>
        <v>2.853957702178309</v>
      </c>
      <c r="F260" s="280">
        <f>H260*Conversions!$D$67</f>
        <v>0.20066647343908872</v>
      </c>
      <c r="G260" s="281">
        <f t="shared" si="57"/>
        <v>1.967727709398593</v>
      </c>
      <c r="H260" s="282">
        <f>C260*Conversions!$B$50</f>
        <v>196.7727709398593</v>
      </c>
      <c r="J260" s="535">
        <v>280001</v>
      </c>
      <c r="K260">
        <f t="shared" si="58"/>
        <v>1</v>
      </c>
    </row>
    <row r="261" spans="1:11" ht="15">
      <c r="A261" s="639">
        <f t="shared" si="56"/>
        <v>39333.333333333336</v>
      </c>
      <c r="B261" s="640">
        <f t="shared" si="59"/>
        <v>11800</v>
      </c>
      <c r="C261" s="573">
        <f t="shared" si="61"/>
        <v>5.718345249908993</v>
      </c>
      <c r="D261" s="278">
        <f>C261*Conversions!$B$53</f>
        <v>145.24596858323596</v>
      </c>
      <c r="E261" s="279">
        <f>C261*Conversions!$B$59</f>
        <v>2.808598360920047</v>
      </c>
      <c r="F261" s="280">
        <f>H261*Conversions!$D$67</f>
        <v>0.19747718333823389</v>
      </c>
      <c r="G261" s="281">
        <f t="shared" si="57"/>
        <v>1.9364536535126822</v>
      </c>
      <c r="H261" s="282">
        <f>C261*Conversions!$B$50</f>
        <v>193.64536535126823</v>
      </c>
      <c r="K261">
        <f t="shared" si="58"/>
        <v>1</v>
      </c>
    </row>
    <row r="262" spans="1:11" ht="15">
      <c r="A262" s="639">
        <f t="shared" si="56"/>
        <v>39666.66666666667</v>
      </c>
      <c r="B262" s="640">
        <f t="shared" si="59"/>
        <v>11900</v>
      </c>
      <c r="C262" s="573">
        <f t="shared" si="61"/>
        <v>5.62746080077185</v>
      </c>
      <c r="D262" s="278">
        <f>C262*Conversions!$B$53</f>
        <v>142.93750358730233</v>
      </c>
      <c r="E262" s="279">
        <f>C262*Conversions!$B$59</f>
        <v>2.7639599377881514</v>
      </c>
      <c r="F262" s="280">
        <f>H262*Conversions!$D$67</f>
        <v>0.19433858217994676</v>
      </c>
      <c r="G262" s="281">
        <f t="shared" si="57"/>
        <v>1.9056766514451855</v>
      </c>
      <c r="H262" s="282">
        <f>C262*Conversions!$B$50</f>
        <v>190.56766514451854</v>
      </c>
      <c r="K262">
        <f t="shared" si="58"/>
        <v>1</v>
      </c>
    </row>
    <row r="263" spans="1:11" ht="15">
      <c r="A263" s="639">
        <f t="shared" si="56"/>
        <v>40000</v>
      </c>
      <c r="B263" s="640">
        <f t="shared" si="59"/>
        <v>12000</v>
      </c>
      <c r="C263" s="573">
        <f t="shared" si="61"/>
        <v>5.538020822497164</v>
      </c>
      <c r="D263" s="278">
        <f>C263*Conversions!$B$53</f>
        <v>140.66572815108205</v>
      </c>
      <c r="E263" s="279">
        <f>C263*Conversions!$B$59</f>
        <v>2.720030974879344</v>
      </c>
      <c r="F263" s="280">
        <f>H263*Conversions!$D$67</f>
        <v>0.19124986434014882</v>
      </c>
      <c r="G263" s="281">
        <f t="shared" si="57"/>
        <v>1.8753888032774193</v>
      </c>
      <c r="H263" s="282">
        <f>C263*Conversions!$B$50</f>
        <v>187.53888032774194</v>
      </c>
      <c r="K263">
        <f t="shared" si="58"/>
        <v>1</v>
      </c>
    </row>
    <row r="264" spans="1:11" ht="15">
      <c r="A264" s="639">
        <f t="shared" si="56"/>
        <v>40333.333333333336</v>
      </c>
      <c r="B264" s="640">
        <f t="shared" si="59"/>
        <v>12100</v>
      </c>
      <c r="C264" s="573">
        <f t="shared" si="61"/>
        <v>5.45000235740524</v>
      </c>
      <c r="D264" s="278">
        <f>C264*Conversions!$B$53</f>
        <v>138.43005914951385</v>
      </c>
      <c r="E264" s="279">
        <f>C264*Conversions!$B$59</f>
        <v>2.6768001963963886</v>
      </c>
      <c r="F264" s="280">
        <f>H264*Conversions!$D$67</f>
        <v>0.18821023699893774</v>
      </c>
      <c r="G264" s="281">
        <f t="shared" si="57"/>
        <v>1.8455823346479594</v>
      </c>
      <c r="H264" s="282">
        <f>C264*Conversions!$B$50</f>
        <v>184.55823346479593</v>
      </c>
      <c r="K264">
        <f t="shared" si="58"/>
        <v>1</v>
      </c>
    </row>
    <row r="265" spans="1:11" ht="15">
      <c r="A265" s="639">
        <f t="shared" si="56"/>
        <v>40666.66666666667</v>
      </c>
      <c r="B265" s="640">
        <f t="shared" si="59"/>
        <v>12200</v>
      </c>
      <c r="C265" s="573">
        <f t="shared" si="61"/>
        <v>5.36338281269398</v>
      </c>
      <c r="D265" s="278">
        <f>C265*Conversions!$B$53</f>
        <v>136.2299227254275</v>
      </c>
      <c r="E265" s="279">
        <f>C265*Conversions!$B$59</f>
        <v>2.6342565057537928</v>
      </c>
      <c r="F265" s="280">
        <f>H265*Conversions!$D$67</f>
        <v>0.1852189199370846</v>
      </c>
      <c r="G265" s="281">
        <f t="shared" si="57"/>
        <v>1.8162495947570978</v>
      </c>
      <c r="H265" s="282">
        <f>C265*Conversions!$B$50</f>
        <v>181.62495947570977</v>
      </c>
      <c r="K265">
        <f t="shared" si="58"/>
        <v>1</v>
      </c>
    </row>
    <row r="266" spans="1:11" ht="15">
      <c r="A266" s="639">
        <f t="shared" si="56"/>
        <v>41000</v>
      </c>
      <c r="B266" s="640">
        <f t="shared" si="59"/>
        <v>12300</v>
      </c>
      <c r="C266" s="573">
        <f t="shared" si="61"/>
        <v>5.27813995463971</v>
      </c>
      <c r="D266" s="278">
        <f>C266*Conversions!$B$53</f>
        <v>134.06475414224468</v>
      </c>
      <c r="E266" s="279">
        <f>C266*Conversions!$B$59</f>
        <v>2.59238898272951</v>
      </c>
      <c r="F266" s="280">
        <f>H266*Conversions!$D$67</f>
        <v>0.18227514533576505</v>
      </c>
      <c r="G266" s="281">
        <f t="shared" si="57"/>
        <v>1.7873830544030185</v>
      </c>
      <c r="H266" s="282">
        <f>C266*Conversions!$B$50</f>
        <v>178.73830544030184</v>
      </c>
      <c r="K266">
        <f t="shared" si="58"/>
        <v>1</v>
      </c>
    </row>
    <row r="267" spans="1:11" ht="15">
      <c r="A267" s="639">
        <f t="shared" si="56"/>
        <v>41333.333333333336</v>
      </c>
      <c r="B267" s="640">
        <f t="shared" si="59"/>
        <v>12400</v>
      </c>
      <c r="C267" s="573">
        <f t="shared" si="61"/>
        <v>5.194251902890156</v>
      </c>
      <c r="D267" s="278">
        <f>C267*Conversions!$B$53</f>
        <v>131.9339976390205</v>
      </c>
      <c r="E267" s="279">
        <f>C267*Conversions!$B$59</f>
        <v>2.5511868806619016</v>
      </c>
      <c r="F267" s="280">
        <f>H267*Conversions!$D$67</f>
        <v>0.17937815757947356</v>
      </c>
      <c r="G267" s="281">
        <f t="shared" si="57"/>
        <v>1.758975304049178</v>
      </c>
      <c r="H267" s="282">
        <f>C267*Conversions!$B$50</f>
        <v>175.8975304049178</v>
      </c>
      <c r="K267">
        <f t="shared" si="58"/>
        <v>1</v>
      </c>
    </row>
    <row r="268" spans="1:11" ht="15">
      <c r="A268" s="639">
        <f t="shared" si="56"/>
        <v>41666.66666666667</v>
      </c>
      <c r="B268" s="640">
        <f t="shared" si="59"/>
        <v>12500</v>
      </c>
      <c r="C268" s="573">
        <f t="shared" si="61"/>
        <v>5.1116971248481615</v>
      </c>
      <c r="D268" s="278">
        <f>C268*Conversions!$B$53</f>
        <v>129.8371062877901</v>
      </c>
      <c r="E268" s="279">
        <f>C268*Conversions!$B$59</f>
        <v>2.510639623691268</v>
      </c>
      <c r="F268" s="280">
        <f>H268*Conversions!$D$67</f>
        <v>0.17652721306207048</v>
      </c>
      <c r="G268" s="281">
        <f t="shared" si="57"/>
        <v>1.7310190519224125</v>
      </c>
      <c r="H268" s="282">
        <f>C268*Conversions!$B$50</f>
        <v>173.10190519224125</v>
      </c>
      <c r="K268">
        <f t="shared" si="58"/>
        <v>1</v>
      </c>
    </row>
    <row r="269" spans="1:11" ht="15">
      <c r="A269" s="639">
        <f t="shared" si="56"/>
        <v>42000</v>
      </c>
      <c r="B269" s="640">
        <f t="shared" si="59"/>
        <v>12600</v>
      </c>
      <c r="C269" s="573">
        <f t="shared" si="61"/>
        <v>5.030454430144631</v>
      </c>
      <c r="D269" s="278">
        <f>C269*Conversions!$B$53</f>
        <v>127.7735418531813</v>
      </c>
      <c r="E269" s="279">
        <f>C269*Conversions!$B$59</f>
        <v>2.4707368040452002</v>
      </c>
      <c r="F269" s="280">
        <f>H269*Conversions!$D$67</f>
        <v>0.17372157999591087</v>
      </c>
      <c r="G269" s="281">
        <f t="shared" si="57"/>
        <v>1.7035071221412625</v>
      </c>
      <c r="H269" s="282">
        <f>C269*Conversions!$B$50</f>
        <v>170.35071221412625</v>
      </c>
      <c r="K269">
        <f t="shared" si="58"/>
        <v>1</v>
      </c>
    </row>
    <row r="270" spans="1:11" ht="15">
      <c r="A270" s="639">
        <f t="shared" si="56"/>
        <v>42333.333333333336</v>
      </c>
      <c r="B270" s="640">
        <f t="shared" si="59"/>
        <v>12700</v>
      </c>
      <c r="C270" s="573">
        <f t="shared" si="61"/>
        <v>4.950502965199335</v>
      </c>
      <c r="D270" s="278">
        <f>C270*Conversions!$B$53</f>
        <v>125.74277465425904</v>
      </c>
      <c r="E270" s="279">
        <f>C270*Conversions!$B$59</f>
        <v>2.431468179367093</v>
      </c>
      <c r="F270" s="280">
        <f>H270*Conversions!$D$67</f>
        <v>0.17096053822400775</v>
      </c>
      <c r="G270" s="281">
        <f t="shared" si="57"/>
        <v>1.6764324528740522</v>
      </c>
      <c r="H270" s="282">
        <f>C270*Conversions!$B$50</f>
        <v>167.64324528740522</v>
      </c>
      <c r="K270">
        <f t="shared" si="58"/>
        <v>1</v>
      </c>
    </row>
    <row r="271" spans="1:11" ht="15">
      <c r="A271" s="639">
        <f t="shared" si="56"/>
        <v>42666.66666666667</v>
      </c>
      <c r="B271" s="640">
        <f t="shared" si="59"/>
        <v>12800</v>
      </c>
      <c r="C271" s="573">
        <f t="shared" si="61"/>
        <v>4.871822207868164</v>
      </c>
      <c r="D271" s="278">
        <f>C271*Conversions!$B$53</f>
        <v>123.74428342856568</v>
      </c>
      <c r="E271" s="279">
        <f>C271*Conversions!$B$59</f>
        <v>2.3928236700871066</v>
      </c>
      <c r="F271" s="280">
        <f>H271*Conversions!$D$67</f>
        <v>0.1682433790351802</v>
      </c>
      <c r="G271" s="281">
        <f t="shared" si="57"/>
        <v>1.6497880945262393</v>
      </c>
      <c r="H271" s="282">
        <f>C271*Conversions!$B$50</f>
        <v>164.97880945262392</v>
      </c>
      <c r="K271">
        <f t="shared" si="58"/>
        <v>1</v>
      </c>
    </row>
    <row r="272" spans="1:11" ht="15">
      <c r="A272" s="639">
        <f t="shared" si="56"/>
        <v>43000</v>
      </c>
      <c r="B272" s="640">
        <f t="shared" si="59"/>
        <v>12900</v>
      </c>
      <c r="C272" s="573">
        <f t="shared" si="61"/>
        <v>4.794391962175455</v>
      </c>
      <c r="D272" s="278">
        <f>C272*Conversions!$B$53</f>
        <v>121.77755519832206</v>
      </c>
      <c r="E272" s="279">
        <f>C272*Conversions!$B$59</f>
        <v>2.3547933568349224</v>
      </c>
      <c r="F272" s="280">
        <f>H272*Conversions!$D$67</f>
        <v>0.16556940498213976</v>
      </c>
      <c r="G272" s="281">
        <f t="shared" si="57"/>
        <v>1.6235672079565768</v>
      </c>
      <c r="H272" s="282">
        <f>C272*Conversions!$B$50</f>
        <v>162.35672079565768</v>
      </c>
      <c r="K272">
        <f t="shared" si="58"/>
        <v>1</v>
      </c>
    </row>
    <row r="273" spans="1:11" ht="15">
      <c r="A273" s="639">
        <f aca="true" t="shared" si="62" ref="A273:A336">B273*(1/0.3)</f>
        <v>43333.333333333336</v>
      </c>
      <c r="B273" s="640">
        <f t="shared" si="59"/>
        <v>13000</v>
      </c>
      <c r="C273" s="573">
        <f t="shared" si="61"/>
        <v>4.718192353130024</v>
      </c>
      <c r="D273" s="278">
        <f>C273*Conversions!$B$53</f>
        <v>119.8420851387548</v>
      </c>
      <c r="E273" s="279">
        <f>C273*Conversions!$B$59</f>
        <v>2.317367477893606</v>
      </c>
      <c r="F273" s="280">
        <f>H273*Conversions!$D$67</f>
        <v>0.16293792970246757</v>
      </c>
      <c r="G273" s="281">
        <f aca="true" t="shared" si="63" ref="G273:G336">H273/100</f>
        <v>1.5977630627216224</v>
      </c>
      <c r="H273" s="282">
        <f>C273*Conversions!$B$50</f>
        <v>159.77630627216223</v>
      </c>
      <c r="K273">
        <f aca="true" t="shared" si="64" ref="K273:K336">K272</f>
        <v>1</v>
      </c>
    </row>
    <row r="274" spans="1:11" ht="15">
      <c r="A274" s="639">
        <f t="shared" si="62"/>
        <v>43666.66666666667</v>
      </c>
      <c r="B274" s="640">
        <f t="shared" si="59"/>
        <v>13100</v>
      </c>
      <c r="C274" s="573">
        <f t="shared" si="61"/>
        <v>4.643203821623618</v>
      </c>
      <c r="D274" s="278">
        <f>C274*Conversions!$B$53</f>
        <v>117.93737644851686</v>
      </c>
      <c r="E274" s="279">
        <f>C274*Conversions!$B$59</f>
        <v>2.2805364266939523</v>
      </c>
      <c r="F274" s="280">
        <f>H274*Conversions!$D$67</f>
        <v>0.1603482777424375</v>
      </c>
      <c r="G274" s="281">
        <f t="shared" si="63"/>
        <v>1.572369035348154</v>
      </c>
      <c r="H274" s="282">
        <f>C274*Conversions!$B$50</f>
        <v>157.2369035348154</v>
      </c>
      <c r="K274">
        <f t="shared" si="64"/>
        <v>1</v>
      </c>
    </row>
    <row r="275" spans="1:11" ht="15">
      <c r="A275" s="639">
        <f t="shared" si="62"/>
        <v>44000</v>
      </c>
      <c r="B275" s="640">
        <f t="shared" si="59"/>
        <v>13200</v>
      </c>
      <c r="C275" s="573">
        <f t="shared" si="61"/>
        <v>4.56940711941043</v>
      </c>
      <c r="D275" s="278">
        <f>C275*Conversions!$B$53</f>
        <v>116.06294022216736</v>
      </c>
      <c r="E275" s="279">
        <f>C275*Conversions!$B$59</f>
        <v>2.244290749348646</v>
      </c>
      <c r="F275" s="280">
        <f>H275*Conversions!$D$67</f>
        <v>0.1577997843836389</v>
      </c>
      <c r="G275" s="281">
        <f t="shared" si="63"/>
        <v>1.5473786076330405</v>
      </c>
      <c r="H275" s="282">
        <f>C275*Conversions!$B$50</f>
        <v>154.73786076330404</v>
      </c>
      <c r="K275">
        <f t="shared" si="64"/>
        <v>1</v>
      </c>
    </row>
    <row r="276" spans="1:11" ht="15">
      <c r="A276" s="639">
        <f t="shared" si="62"/>
        <v>44333.333333333336</v>
      </c>
      <c r="B276" s="640">
        <f t="shared" si="59"/>
        <v>13300</v>
      </c>
      <c r="C276" s="573">
        <f t="shared" si="61"/>
        <v>4.4967833041664</v>
      </c>
      <c r="D276" s="278">
        <f>C276*Conversions!$B$53</f>
        <v>114.21829532467765</v>
      </c>
      <c r="E276" s="279">
        <f>C276*Conversions!$B$59</f>
        <v>2.2086211422256086</v>
      </c>
      <c r="F276" s="280">
        <f>H276*Conversions!$D$67</f>
        <v>0.15529179547235453</v>
      </c>
      <c r="G276" s="281">
        <f t="shared" si="63"/>
        <v>1.5227853649701268</v>
      </c>
      <c r="H276" s="282">
        <f>C276*Conversions!$B$50</f>
        <v>152.27853649701268</v>
      </c>
      <c r="K276">
        <f t="shared" si="64"/>
        <v>1</v>
      </c>
    </row>
    <row r="277" spans="1:11" ht="15">
      <c r="A277" s="639">
        <f t="shared" si="62"/>
        <v>44666.66666666667</v>
      </c>
      <c r="B277" s="640">
        <f t="shared" si="59"/>
        <v>13400</v>
      </c>
      <c r="C277" s="573">
        <f t="shared" si="61"/>
        <v>4.42531373462707</v>
      </c>
      <c r="D277" s="278">
        <f>C277*Conversions!$B$53</f>
        <v>112.40296826793302</v>
      </c>
      <c r="E277" s="279">
        <f>C277*Conversions!$B$59</f>
        <v>2.173518449559926</v>
      </c>
      <c r="F277" s="280">
        <f>H277*Conversions!$D$67</f>
        <v>0.15282366725165158</v>
      </c>
      <c r="G277" s="281">
        <f t="shared" si="63"/>
        <v>1.4985829947037255</v>
      </c>
      <c r="H277" s="282">
        <f>C277*Conversions!$B$50</f>
        <v>149.85829947037254</v>
      </c>
      <c r="K277">
        <f t="shared" si="64"/>
        <v>1</v>
      </c>
    </row>
    <row r="278" spans="1:11" ht="15">
      <c r="A278" s="639">
        <f t="shared" si="62"/>
        <v>45000</v>
      </c>
      <c r="B278" s="640">
        <f t="shared" si="59"/>
        <v>13500</v>
      </c>
      <c r="C278" s="573">
        <f t="shared" si="61"/>
        <v>4.354980065802683</v>
      </c>
      <c r="D278" s="278">
        <f>C278*Conversions!$B$53</f>
        <v>110.61649308919608</v>
      </c>
      <c r="E278" s="279">
        <f>C278*Conversions!$B$59</f>
        <v>2.1389736611037176</v>
      </c>
      <c r="F278" s="280">
        <f>H278*Conversions!$D$67</f>
        <v>0.1503947661961399</v>
      </c>
      <c r="G278" s="281">
        <f t="shared" si="63"/>
        <v>1.4747652845082622</v>
      </c>
      <c r="H278" s="282">
        <f>C278*Conversions!$B$50</f>
        <v>147.4765284508262</v>
      </c>
      <c r="K278">
        <f t="shared" si="64"/>
        <v>1</v>
      </c>
    </row>
    <row r="279" spans="1:11" ht="15">
      <c r="A279" s="639">
        <f t="shared" si="62"/>
        <v>45333.333333333336</v>
      </c>
      <c r="B279" s="640">
        <f t="shared" si="59"/>
        <v>13600</v>
      </c>
      <c r="C279" s="573">
        <f t="shared" si="61"/>
        <v>4.285764244269344</v>
      </c>
      <c r="D279" s="278">
        <f>C279*Conversions!$B$53</f>
        <v>108.85841123150233</v>
      </c>
      <c r="E279" s="279">
        <f>C279*Conversions!$B$59</f>
        <v>2.104977909813366</v>
      </c>
      <c r="F279" s="280">
        <f>H279*Conversions!$D$67</f>
        <v>0.14800446884935708</v>
      </c>
      <c r="G279" s="281">
        <f t="shared" si="63"/>
        <v>1.4513261207936807</v>
      </c>
      <c r="H279" s="282">
        <f>C279*Conversions!$B$50</f>
        <v>145.13261207936807</v>
      </c>
      <c r="K279">
        <f t="shared" si="64"/>
        <v>1</v>
      </c>
    </row>
    <row r="280" spans="1:11" ht="15">
      <c r="A280" s="639">
        <f t="shared" si="62"/>
        <v>45666.66666666667</v>
      </c>
      <c r="B280" s="640">
        <f t="shared" si="59"/>
        <v>13700</v>
      </c>
      <c r="C280" s="573">
        <f t="shared" si="61"/>
        <v>4.217648503535031</v>
      </c>
      <c r="D280" s="278">
        <f>C280*Conversions!$B$53</f>
        <v>107.12827142595678</v>
      </c>
      <c r="E280" s="279">
        <f>C280*Conversions!$B$59</f>
        <v>2.0715224695735013</v>
      </c>
      <c r="F280" s="280">
        <f>H280*Conversions!$D$67</f>
        <v>0.1456521616637384</v>
      </c>
      <c r="G280" s="281">
        <f t="shared" si="63"/>
        <v>1.4282594871361938</v>
      </c>
      <c r="H280" s="282">
        <f>C280*Conversions!$B$50</f>
        <v>142.82594871361937</v>
      </c>
      <c r="K280">
        <f t="shared" si="64"/>
        <v>1</v>
      </c>
    </row>
    <row r="281" spans="1:11" ht="15">
      <c r="A281" s="639">
        <f t="shared" si="62"/>
        <v>46000</v>
      </c>
      <c r="B281" s="640">
        <f t="shared" si="59"/>
        <v>13800</v>
      </c>
      <c r="C281" s="573">
        <f t="shared" si="61"/>
        <v>4.150615359479245</v>
      </c>
      <c r="D281" s="278">
        <f>C281*Conversions!$B$53</f>
        <v>105.42562957590108</v>
      </c>
      <c r="E281" s="279">
        <f>C281*Conversions!$B$59</f>
        <v>2.038598752957161</v>
      </c>
      <c r="F281" s="280">
        <f>H281*Conversions!$D$67</f>
        <v>0.14333724084312977</v>
      </c>
      <c r="G281" s="281">
        <f t="shared" si="63"/>
        <v>1.4055594627339707</v>
      </c>
      <c r="H281" s="282">
        <f>C281*Conversions!$B$50</f>
        <v>140.55594627339707</v>
      </c>
      <c r="K281">
        <f t="shared" si="64"/>
        <v>1</v>
      </c>
    </row>
    <row r="282" spans="1:11" ht="15">
      <c r="A282" s="639">
        <f t="shared" si="62"/>
        <v>46333.333333333336</v>
      </c>
      <c r="B282" s="640">
        <f aca="true" t="shared" si="65" ref="B282:B345">B281+100</f>
        <v>13900</v>
      </c>
      <c r="C282" s="573">
        <f t="shared" si="61"/>
        <v>4.084647605865131</v>
      </c>
      <c r="D282" s="278">
        <f>C282*Conversions!$B$53</f>
        <v>103.75004864292144</v>
      </c>
      <c r="E282" s="279">
        <f>C282*Conversions!$B$59</f>
        <v>2.006198309021544</v>
      </c>
      <c r="F282" s="280">
        <f>H282*Conversions!$D$67</f>
        <v>0.14105911218780362</v>
      </c>
      <c r="G282" s="281">
        <f t="shared" si="63"/>
        <v>1.3832202208873705</v>
      </c>
      <c r="H282" s="282">
        <f>C282*Conversions!$B$50</f>
        <v>138.32202208873704</v>
      </c>
      <c r="K282">
        <f t="shared" si="64"/>
        <v>1</v>
      </c>
    </row>
    <row r="283" spans="1:11" ht="15">
      <c r="A283" s="639">
        <f t="shared" si="62"/>
        <v>46666.66666666667</v>
      </c>
      <c r="B283" s="640">
        <f t="shared" si="65"/>
        <v>14000</v>
      </c>
      <c r="C283" s="573">
        <f t="shared" si="61"/>
        <v>4.019728309922949</v>
      </c>
      <c r="D283" s="278">
        <f>C283*Conversions!$B$53</f>
        <v>102.10109853466872</v>
      </c>
      <c r="E283" s="279">
        <f>C283*Conversions!$B$59</f>
        <v>1.9743128211388044</v>
      </c>
      <c r="F283" s="280">
        <f>H283*Conversions!$D$67</f>
        <v>0.13881719094193842</v>
      </c>
      <c r="G283" s="281">
        <f t="shared" si="63"/>
        <v>1.36123602750333</v>
      </c>
      <c r="H283" s="282">
        <f>C283*Conversions!$B$50</f>
        <v>136.123602750333</v>
      </c>
      <c r="K283">
        <f t="shared" si="64"/>
        <v>1</v>
      </c>
    </row>
    <row r="284" spans="1:11" ht="15">
      <c r="A284" s="639">
        <f t="shared" si="62"/>
        <v>47000</v>
      </c>
      <c r="B284" s="640">
        <f t="shared" si="65"/>
        <v>14100</v>
      </c>
      <c r="C284" s="573">
        <f t="shared" si="61"/>
        <v>3.9558408080037304</v>
      </c>
      <c r="D284" s="278">
        <f>C284*Conversions!$B$53</f>
        <v>100.47835599446131</v>
      </c>
      <c r="E284" s="279">
        <f>C284*Conversions!$B$59</f>
        <v>1.94293410486132</v>
      </c>
      <c r="F284" s="280">
        <f>H284*Conversions!$D$67</f>
        <v>0.13661090164352221</v>
      </c>
      <c r="G284" s="281">
        <f t="shared" si="63"/>
        <v>1.3396012396235253</v>
      </c>
      <c r="H284" s="282">
        <f>C284*Conversions!$B$50</f>
        <v>133.96012396235253</v>
      </c>
      <c r="K284">
        <f t="shared" si="64"/>
        <v>1</v>
      </c>
    </row>
    <row r="285" spans="1:11" ht="15">
      <c r="A285" s="639">
        <f t="shared" si="62"/>
        <v>47333.333333333336</v>
      </c>
      <c r="B285" s="640">
        <f t="shared" si="65"/>
        <v>14200</v>
      </c>
      <c r="C285" s="573">
        <f t="shared" si="61"/>
        <v>3.892968701301992</v>
      </c>
      <c r="D285" s="278">
        <f>C285*Conversions!$B$53</f>
        <v>98.88140449264215</v>
      </c>
      <c r="E285" s="279">
        <f>C285*Conversions!$B$59</f>
        <v>1.9120541058208802</v>
      </c>
      <c r="F285" s="280">
        <f>H285*Conversions!$D$67</f>
        <v>0.134439677976641</v>
      </c>
      <c r="G285" s="281">
        <f t="shared" si="63"/>
        <v>1.3183103039759165</v>
      </c>
      <c r="H285" s="282">
        <f>C285*Conversions!$B$50</f>
        <v>131.83103039759166</v>
      </c>
      <c r="K285">
        <f t="shared" si="64"/>
        <v>1</v>
      </c>
    </row>
    <row r="286" spans="1:11" ht="15">
      <c r="A286" s="639">
        <f t="shared" si="62"/>
        <v>47666.66666666667</v>
      </c>
      <c r="B286" s="640">
        <f t="shared" si="65"/>
        <v>14300</v>
      </c>
      <c r="C286" s="573">
        <f t="shared" si="61"/>
        <v>3.8310958516464724</v>
      </c>
      <c r="D286" s="278">
        <f>C286*Conversions!$B$53</f>
        <v>97.30983411966338</v>
      </c>
      <c r="E286" s="279">
        <f>C286*Conversions!$B$59</f>
        <v>1.8816648976612802</v>
      </c>
      <c r="F286" s="280">
        <f>H286*Conversions!$D$67</f>
        <v>0.13230296262611604</v>
      </c>
      <c r="G286" s="281">
        <f t="shared" si="63"/>
        <v>1.2973577555493279</v>
      </c>
      <c r="H286" s="282">
        <f>C286*Conversions!$B$50</f>
        <v>129.7357755549328</v>
      </c>
      <c r="K286">
        <f t="shared" si="64"/>
        <v>1</v>
      </c>
    </row>
    <row r="287" spans="1:11" ht="15">
      <c r="A287" s="639">
        <f t="shared" si="62"/>
        <v>48000</v>
      </c>
      <c r="B287" s="640">
        <f t="shared" si="65"/>
        <v>14400</v>
      </c>
      <c r="C287" s="573">
        <f t="shared" si="61"/>
        <v>3.7702063773577317</v>
      </c>
      <c r="D287" s="278">
        <f>C287*Conversions!$B$53</f>
        <v>95.76324148086933</v>
      </c>
      <c r="E287" s="279">
        <f>C287*Conversions!$B$59</f>
        <v>1.8517586800037573</v>
      </c>
      <c r="F287" s="280">
        <f>H287*Conversions!$D$67</f>
        <v>0.13020020713445038</v>
      </c>
      <c r="G287" s="281">
        <f t="shared" si="63"/>
        <v>1.276738216190669</v>
      </c>
      <c r="H287" s="282">
        <f>C287*Conversions!$B$50</f>
        <v>127.6738216190669</v>
      </c>
      <c r="K287">
        <f t="shared" si="64"/>
        <v>1</v>
      </c>
    </row>
    <row r="288" spans="1:11" ht="15">
      <c r="A288" s="639">
        <f t="shared" si="62"/>
        <v>48333.333333333336</v>
      </c>
      <c r="B288" s="640">
        <f t="shared" si="65"/>
        <v>14500</v>
      </c>
      <c r="C288" s="573">
        <f t="shared" si="61"/>
        <v>3.7102846491715993</v>
      </c>
      <c r="D288" s="278">
        <f>C288*Conversions!$B$53</f>
        <v>94.24122959295215</v>
      </c>
      <c r="E288" s="279">
        <f>C288*Conversions!$B$59</f>
        <v>1.8223277764447694</v>
      </c>
      <c r="F288" s="280">
        <f>H288*Conversions!$D$67</f>
        <v>0.12813087176104931</v>
      </c>
      <c r="G288" s="281">
        <f t="shared" si="63"/>
        <v>1.2564463932244576</v>
      </c>
      <c r="H288" s="282">
        <f>C288*Conversions!$B$50</f>
        <v>125.64463932244576</v>
      </c>
      <c r="K288">
        <f t="shared" si="64"/>
        <v>1</v>
      </c>
    </row>
    <row r="289" spans="1:11" ht="15">
      <c r="A289" s="639">
        <f t="shared" si="62"/>
        <v>48666.66666666667</v>
      </c>
      <c r="B289" s="640">
        <f t="shared" si="65"/>
        <v>14600</v>
      </c>
      <c r="C289" s="573">
        <f t="shared" si="61"/>
        <v>3.6513152862274283</v>
      </c>
      <c r="D289" s="278">
        <f>C289*Conversions!$B$53</f>
        <v>92.74340778205348</v>
      </c>
      <c r="E289" s="279">
        <f>C289*Conversions!$B$59</f>
        <v>1.7933646325856025</v>
      </c>
      <c r="F289" s="280">
        <f>H289*Conversions!$D$67</f>
        <v>0.1260944253436788</v>
      </c>
      <c r="G289" s="281">
        <f t="shared" si="63"/>
        <v>1.2364770780942853</v>
      </c>
      <c r="H289" s="282">
        <f>C289*Conversions!$B$50</f>
        <v>123.64770780942854</v>
      </c>
      <c r="K289">
        <f t="shared" si="64"/>
        <v>1</v>
      </c>
    </row>
    <row r="290" spans="1:11" ht="15">
      <c r="A290" s="639">
        <f t="shared" si="62"/>
        <v>49000</v>
      </c>
      <c r="B290" s="640">
        <f t="shared" si="65"/>
        <v>14700</v>
      </c>
      <c r="C290" s="573">
        <f t="shared" si="61"/>
        <v>3.593283152120086</v>
      </c>
      <c r="D290" s="278">
        <f>C290*Conversions!$B$53</f>
        <v>91.26939158348497</v>
      </c>
      <c r="E290" s="279">
        <f>C290*Conversions!$B$59</f>
        <v>1.7648618140932828</v>
      </c>
      <c r="F290" s="280">
        <f>H290*Conversions!$D$67</f>
        <v>0.12409034516212504</v>
      </c>
      <c r="G290" s="281">
        <f t="shared" si="63"/>
        <v>1.2168251450258702</v>
      </c>
      <c r="H290" s="282">
        <f>C290*Conversions!$B$50</f>
        <v>121.68251450258703</v>
      </c>
      <c r="K290">
        <f t="shared" si="64"/>
        <v>1</v>
      </c>
    </row>
    <row r="291" spans="1:11" ht="15">
      <c r="A291" s="639">
        <f t="shared" si="62"/>
        <v>49333.333333333336</v>
      </c>
      <c r="B291" s="640">
        <f t="shared" si="65"/>
        <v>14800</v>
      </c>
      <c r="C291" s="573">
        <f t="shared" si="61"/>
        <v>3.5361733510147024</v>
      </c>
      <c r="D291" s="278">
        <f>C291*Conversions!$B$53</f>
        <v>89.8188026430429</v>
      </c>
      <c r="E291" s="279">
        <f>C291*Conversions!$B$59</f>
        <v>1.7368120047923137</v>
      </c>
      <c r="F291" s="280">
        <f>H291*Conversions!$D$67</f>
        <v>0.12211811680402138</v>
      </c>
      <c r="G291" s="281">
        <f t="shared" si="63"/>
        <v>1.1974855497113581</v>
      </c>
      <c r="H291" s="282">
        <f>C291*Conversions!$B$50</f>
        <v>119.74855497113582</v>
      </c>
      <c r="K291">
        <f t="shared" si="64"/>
        <v>1</v>
      </c>
    </row>
    <row r="292" spans="1:11" ht="15">
      <c r="A292" s="639">
        <f t="shared" si="62"/>
        <v>49666.66666666667</v>
      </c>
      <c r="B292" s="640">
        <f t="shared" si="65"/>
        <v>14900</v>
      </c>
      <c r="C292" s="573">
        <f t="shared" si="61"/>
        <v>3.4799712238231812</v>
      </c>
      <c r="D292" s="278">
        <f>C292*Conversions!$B$53</f>
        <v>88.3912686198916</v>
      </c>
      <c r="E292" s="279">
        <f>C292*Conversions!$B$59</f>
        <v>1.709208004786746</v>
      </c>
      <c r="F292" s="280">
        <f>H292*Conversions!$D$67</f>
        <v>0.12017723403280792</v>
      </c>
      <c r="G292" s="281">
        <f t="shared" si="63"/>
        <v>1.1784533280145417</v>
      </c>
      <c r="H292" s="282">
        <f>C292*Conversions!$B$50</f>
        <v>117.84533280145418</v>
      </c>
      <c r="K292">
        <f t="shared" si="64"/>
        <v>1</v>
      </c>
    </row>
    <row r="293" spans="1:11" ht="15">
      <c r="A293" s="639">
        <f t="shared" si="62"/>
        <v>50000</v>
      </c>
      <c r="B293" s="640">
        <f t="shared" si="65"/>
        <v>15000</v>
      </c>
      <c r="C293" s="573">
        <f t="shared" si="61"/>
        <v>3.424662344441457</v>
      </c>
      <c r="D293" s="278">
        <f>C293*Conversions!$B$53</f>
        <v>86.98642309098973</v>
      </c>
      <c r="E293" s="279">
        <f>C293*Conversions!$B$59</f>
        <v>1.6820427286120854</v>
      </c>
      <c r="F293" s="280">
        <f>H293*Conversions!$D$67</f>
        <v>0.11826719865778908</v>
      </c>
      <c r="G293" s="281">
        <f t="shared" si="63"/>
        <v>1.1597235946966493</v>
      </c>
      <c r="H293" s="282">
        <f>C293*Conversions!$B$50</f>
        <v>115.97235946966492</v>
      </c>
      <c r="K293">
        <f t="shared" si="64"/>
        <v>1</v>
      </c>
    </row>
    <row r="294" spans="1:11" ht="15">
      <c r="A294" s="639">
        <f t="shared" si="62"/>
        <v>50333.333333333336</v>
      </c>
      <c r="B294" s="640">
        <f t="shared" si="65"/>
        <v>15100</v>
      </c>
      <c r="C294" s="573">
        <f t="shared" si="61"/>
        <v>3.3702325160465656</v>
      </c>
      <c r="D294" s="278">
        <f>C294*Conversions!$B$53</f>
        <v>85.6039054570359</v>
      </c>
      <c r="E294" s="279">
        <f>C294*Conversions!$B$59</f>
        <v>1.6553092034165784</v>
      </c>
      <c r="F294" s="280">
        <f>H294*Conversions!$D$67</f>
        <v>0.11638752040625687</v>
      </c>
      <c r="G294" s="281">
        <f t="shared" si="63"/>
        <v>1.14129154216239</v>
      </c>
      <c r="H294" s="282">
        <f>C294*Conversions!$B$50</f>
        <v>114.12915421623899</v>
      </c>
      <c r="K294">
        <f t="shared" si="64"/>
        <v>1</v>
      </c>
    </row>
    <row r="295" spans="1:11" ht="15">
      <c r="A295" s="639">
        <f t="shared" si="62"/>
        <v>50666.66666666667</v>
      </c>
      <c r="B295" s="640">
        <f t="shared" si="65"/>
        <v>15200</v>
      </c>
      <c r="C295" s="573">
        <f t="shared" si="61"/>
        <v>3.3166677674525813</v>
      </c>
      <c r="D295" s="278">
        <f>C295*Conversions!$B$53</f>
        <v>84.24336084990946</v>
      </c>
      <c r="E295" s="279">
        <f>C295*Conversions!$B$59</f>
        <v>1.629000567171407</v>
      </c>
      <c r="F295" s="280">
        <f>H295*Conversions!$D$67</f>
        <v>0.11453771679764667</v>
      </c>
      <c r="G295" s="281">
        <f t="shared" si="63"/>
        <v>1.123152439225931</v>
      </c>
      <c r="H295" s="282">
        <f>C295*Conversions!$B$50</f>
        <v>112.31524392259311</v>
      </c>
      <c r="K295">
        <f t="shared" si="64"/>
        <v>1</v>
      </c>
    </row>
    <row r="296" spans="1:11" ht="15">
      <c r="A296" s="639">
        <f t="shared" si="62"/>
        <v>51000</v>
      </c>
      <c r="B296" s="640">
        <f t="shared" si="65"/>
        <v>15300</v>
      </c>
      <c r="C296" s="573">
        <f t="shared" si="61"/>
        <v>3.2639543495244423</v>
      </c>
      <c r="D296" s="278">
        <f>C296*Conversions!$B$53</f>
        <v>82.90444004158168</v>
      </c>
      <c r="E296" s="279">
        <f>C296*Conversions!$B$59</f>
        <v>1.6031100669093215</v>
      </c>
      <c r="F296" s="280">
        <f>H296*Conversions!$D$67</f>
        <v>0.11271731301969258</v>
      </c>
      <c r="G296" s="281">
        <f t="shared" si="63"/>
        <v>1.105301629896482</v>
      </c>
      <c r="H296" s="282">
        <f>C296*Conversions!$B$50</f>
        <v>110.5301629896482</v>
      </c>
      <c r="K296">
        <f t="shared" si="64"/>
        <v>1</v>
      </c>
    </row>
    <row r="297" spans="1:11" ht="15">
      <c r="A297" s="639">
        <f t="shared" si="62"/>
        <v>51333.333333333336</v>
      </c>
      <c r="B297" s="640">
        <f t="shared" si="65"/>
        <v>15400</v>
      </c>
      <c r="C297" s="573">
        <f t="shared" si="61"/>
        <v>3.2120787316487927</v>
      </c>
      <c r="D297" s="278">
        <f>C297*Conversions!$B$53</f>
        <v>81.58679935447513</v>
      </c>
      <c r="E297" s="279">
        <f>C297*Conversions!$B$59</f>
        <v>1.5776310569912717</v>
      </c>
      <c r="F297" s="280">
        <f>H297*Conversions!$D$67</f>
        <v>0.11092584180655155</v>
      </c>
      <c r="G297" s="281">
        <f t="shared" si="63"/>
        <v>1.0877345321831833</v>
      </c>
      <c r="H297" s="282">
        <f>C297*Conversions!$B$50</f>
        <v>108.77345321831832</v>
      </c>
      <c r="K297">
        <f t="shared" si="64"/>
        <v>1</v>
      </c>
    </row>
    <row r="298" spans="1:11" ht="15">
      <c r="A298" s="639">
        <f t="shared" si="62"/>
        <v>51666.66666666667</v>
      </c>
      <c r="B298" s="640">
        <f t="shared" si="65"/>
        <v>15500</v>
      </c>
      <c r="C298" s="573">
        <f t="shared" si="61"/>
        <v>3.1610275982609157</v>
      </c>
      <c r="D298" s="278">
        <f>C298*Conversions!$B$53</f>
        <v>80.29010057324778</v>
      </c>
      <c r="E298" s="279">
        <f>C298*Conversions!$B$59</f>
        <v>1.5525569974005913</v>
      </c>
      <c r="F298" s="280">
        <f>H298*Conversions!$D$67</f>
        <v>0.10916284331886442</v>
      </c>
      <c r="G298" s="281">
        <f t="shared" si="63"/>
        <v>1.0704466369189911</v>
      </c>
      <c r="H298" s="282">
        <f>C298*Conversions!$B$50</f>
        <v>107.0446636918991</v>
      </c>
      <c r="K298">
        <f t="shared" si="64"/>
        <v>1</v>
      </c>
    </row>
    <row r="299" spans="1:11" ht="15">
      <c r="A299" s="639">
        <f t="shared" si="62"/>
        <v>52000</v>
      </c>
      <c r="B299" s="640">
        <f t="shared" si="65"/>
        <v>15600</v>
      </c>
      <c r="C299" s="573">
        <f t="shared" si="61"/>
        <v>3.1107878454268563</v>
      </c>
      <c r="D299" s="278">
        <f>C299*Conversions!$B$53</f>
        <v>79.01401085797895</v>
      </c>
      <c r="E299" s="279">
        <f>C299*Conversions!$B$59</f>
        <v>1.5278814520642874</v>
      </c>
      <c r="F299" s="280">
        <f>H299*Conversions!$D$67</f>
        <v>0.10742786502572323</v>
      </c>
      <c r="G299" s="281">
        <f t="shared" si="63"/>
        <v>1.053433506603252</v>
      </c>
      <c r="H299" s="282">
        <f>C299*Conversions!$B$50</f>
        <v>105.34335066032521</v>
      </c>
      <c r="K299">
        <f t="shared" si="64"/>
        <v>1</v>
      </c>
    </row>
    <row r="300" spans="1:11" ht="15">
      <c r="A300" s="639">
        <f t="shared" si="62"/>
        <v>52333.333333333336</v>
      </c>
      <c r="B300" s="640">
        <f t="shared" si="65"/>
        <v>15700</v>
      </c>
      <c r="C300" s="573">
        <f t="shared" si="61"/>
        <v>3.061346577479868</v>
      </c>
      <c r="D300" s="278">
        <f>C300*Conversions!$B$53</f>
        <v>77.75820265873494</v>
      </c>
      <c r="E300" s="279">
        <f>C300*Conversions!$B$59</f>
        <v>1.5035980872010115</v>
      </c>
      <c r="F300" s="280">
        <f>H300*Conversions!$D$67</f>
        <v>0.10572046158851427</v>
      </c>
      <c r="G300" s="281">
        <f t="shared" si="63"/>
        <v>1.0366907742626734</v>
      </c>
      <c r="H300" s="282">
        <f>C300*Conversions!$B$50</f>
        <v>103.66907742626735</v>
      </c>
      <c r="K300">
        <f t="shared" si="64"/>
        <v>1</v>
      </c>
    </row>
    <row r="301" spans="1:11" ht="15">
      <c r="A301" s="639">
        <f t="shared" si="62"/>
        <v>52666.66666666667</v>
      </c>
      <c r="B301" s="640">
        <f t="shared" si="65"/>
        <v>15800</v>
      </c>
      <c r="C301" s="573">
        <f t="shared" si="61"/>
        <v>3.0126911037103246</v>
      </c>
      <c r="D301" s="278">
        <f>C301*Conversions!$B$53</f>
        <v>76.52235363149302</v>
      </c>
      <c r="E301" s="279">
        <f>C301*Conversions!$B$59</f>
        <v>1.4797006696952912</v>
      </c>
      <c r="F301" s="280">
        <f>H301*Conversions!$D$67</f>
        <v>0.10404019474660756</v>
      </c>
      <c r="G301" s="281">
        <f t="shared" si="63"/>
        <v>1.0202141423303985</v>
      </c>
      <c r="H301" s="282">
        <f>C301*Conversions!$B$50</f>
        <v>102.02141423303986</v>
      </c>
      <c r="K301">
        <f t="shared" si="64"/>
        <v>1</v>
      </c>
    </row>
    <row r="302" spans="1:11" ht="15">
      <c r="A302" s="639">
        <f t="shared" si="62"/>
        <v>53000</v>
      </c>
      <c r="B302" s="640">
        <f t="shared" si="65"/>
        <v>15900</v>
      </c>
      <c r="C302" s="573">
        <f t="shared" si="61"/>
        <v>2.964808935108238</v>
      </c>
      <c r="D302" s="278">
        <f>C302*Conversions!$B$53</f>
        <v>75.30614655540111</v>
      </c>
      <c r="E302" s="279">
        <f>C302*Conversions!$B$59</f>
        <v>1.4561830654975982</v>
      </c>
      <c r="F302" s="280">
        <f>H302*Conversions!$D$67</f>
        <v>0.10238663320486313</v>
      </c>
      <c r="G302" s="281">
        <f t="shared" si="63"/>
        <v>1.003999381542897</v>
      </c>
      <c r="H302" s="282">
        <f>C302*Conversions!$B$50</f>
        <v>100.3999381542897</v>
      </c>
      <c r="K302">
        <f t="shared" si="64"/>
        <v>1</v>
      </c>
    </row>
    <row r="303" spans="1:11" ht="15">
      <c r="A303" s="639">
        <f t="shared" si="62"/>
        <v>53333.333333333336</v>
      </c>
      <c r="B303" s="640">
        <f t="shared" si="65"/>
        <v>16000</v>
      </c>
      <c r="C303" s="573">
        <f t="shared" si="61"/>
        <v>2.917687781157542</v>
      </c>
      <c r="D303" s="278">
        <f>C303*Conversions!$B$53</f>
        <v>74.10926925135279</v>
      </c>
      <c r="E303" s="279">
        <f>C303*Conversions!$B$59</f>
        <v>1.4330392380498427</v>
      </c>
      <c r="F303" s="280">
        <f>H303*Conversions!$D$67</f>
        <v>0.1007593525229248</v>
      </c>
      <c r="G303" s="281">
        <f t="shared" si="63"/>
        <v>0.9880423298543843</v>
      </c>
      <c r="H303" s="282">
        <f>C303*Conversions!$B$50</f>
        <v>98.80423298543843</v>
      </c>
      <c r="K303">
        <f t="shared" si="64"/>
        <v>1</v>
      </c>
    </row>
    <row r="304" spans="1:11" ht="15">
      <c r="A304" s="639">
        <f t="shared" si="62"/>
        <v>53666.66666666667</v>
      </c>
      <c r="B304" s="640">
        <f t="shared" si="65"/>
        <v>16100</v>
      </c>
      <c r="C304" s="573">
        <f t="shared" si="61"/>
        <v>2.871315546681336</v>
      </c>
      <c r="D304" s="278">
        <f>C304*Conversions!$B$53</f>
        <v>72.93141450185638</v>
      </c>
      <c r="E304" s="279">
        <f>C304*Conversions!$B$59</f>
        <v>1.4102632467358964</v>
      </c>
      <c r="F304" s="280">
        <f>H304*Conversions!$D$67</f>
        <v>0.09915793500627397</v>
      </c>
      <c r="G304" s="281">
        <f t="shared" si="63"/>
        <v>0.9723388913684998</v>
      </c>
      <c r="H304" s="282">
        <f>C304*Conversions!$B$50</f>
        <v>97.23388913684998</v>
      </c>
      <c r="K304">
        <f t="shared" si="64"/>
        <v>1</v>
      </c>
    </row>
    <row r="305" spans="1:11" ht="15">
      <c r="A305" s="639">
        <f t="shared" si="62"/>
        <v>54000</v>
      </c>
      <c r="B305" s="640">
        <f t="shared" si="65"/>
        <v>16200</v>
      </c>
      <c r="C305" s="573">
        <f t="shared" si="61"/>
        <v>2.8256803287372647</v>
      </c>
      <c r="D305" s="278">
        <f>C305*Conversions!$B$53</f>
        <v>71.77227997217769</v>
      </c>
      <c r="E305" s="279">
        <f>C305*Conversions!$B$59</f>
        <v>1.387849245356741</v>
      </c>
      <c r="F305" s="280">
        <f>H305*Conversions!$D$67</f>
        <v>0.09758196959901476</v>
      </c>
      <c r="G305" s="281">
        <f t="shared" si="63"/>
        <v>0.956885035286961</v>
      </c>
      <c r="H305" s="282">
        <f>C305*Conversions!$B$50</f>
        <v>95.6885035286961</v>
      </c>
      <c r="K305">
        <f t="shared" si="64"/>
        <v>1</v>
      </c>
    </row>
    <row r="306" spans="1:11" ht="15">
      <c r="A306" s="639">
        <f t="shared" si="62"/>
        <v>54333.333333333336</v>
      </c>
      <c r="B306" s="640">
        <f t="shared" si="65"/>
        <v>16300</v>
      </c>
      <c r="C306" s="573">
        <f t="shared" si="61"/>
        <v>2.780770413562234</v>
      </c>
      <c r="D306" s="278">
        <f>C306*Conversions!$B$53</f>
        <v>70.63156813273565</v>
      </c>
      <c r="E306" s="279">
        <f>C306*Conversions!$B$59</f>
        <v>1.3657914806298463</v>
      </c>
      <c r="F306" s="280">
        <f>H306*Conversions!$D$67</f>
        <v>0.09603105177836285</v>
      </c>
      <c r="G306" s="281">
        <f t="shared" si="63"/>
        <v>0.9416767948749264</v>
      </c>
      <c r="H306" s="282">
        <f>C306*Conversions!$B$50</f>
        <v>94.16767948749263</v>
      </c>
      <c r="K306">
        <f t="shared" si="64"/>
        <v>1</v>
      </c>
    </row>
    <row r="307" spans="1:11" ht="15">
      <c r="A307" s="639">
        <f t="shared" si="62"/>
        <v>54666.66666666667</v>
      </c>
      <c r="B307" s="640">
        <f t="shared" si="65"/>
        <v>16400</v>
      </c>
      <c r="C307" s="573">
        <f t="shared" si="61"/>
        <v>2.7365742735657035</v>
      </c>
      <c r="D307" s="278">
        <f>C307*Conversions!$B$53</f>
        <v>69.5089861827321</v>
      </c>
      <c r="E307" s="279">
        <f>C307*Conversions!$B$59</f>
        <v>1.344084290712409</v>
      </c>
      <c r="F307" s="280">
        <f>H307*Conversions!$D$67</f>
        <v>0.09450478345081197</v>
      </c>
      <c r="G307" s="281">
        <f t="shared" si="63"/>
        <v>0.9267102664428066</v>
      </c>
      <c r="H307" s="282">
        <f>C307*Conversions!$B$50</f>
        <v>92.67102664428066</v>
      </c>
      <c r="K307">
        <f t="shared" si="64"/>
        <v>1</v>
      </c>
    </row>
    <row r="308" spans="1:11" ht="15">
      <c r="A308" s="639">
        <f t="shared" si="62"/>
        <v>55000</v>
      </c>
      <c r="B308" s="640">
        <f t="shared" si="65"/>
        <v>16500</v>
      </c>
      <c r="C308" s="573">
        <f t="shared" si="61"/>
        <v>2.693080564370749</v>
      </c>
      <c r="D308" s="278">
        <f>C308*Conversions!$B$53</f>
        <v>68.40424597499468</v>
      </c>
      <c r="E308" s="279">
        <f>C308*Conversions!$B$59</f>
        <v>1.322722103748055</v>
      </c>
      <c r="F308" s="280">
        <f>H308*Conversions!$D$67</f>
        <v>0.09300277284995002</v>
      </c>
      <c r="G308" s="281">
        <f t="shared" si="63"/>
        <v>0.9119816083442548</v>
      </c>
      <c r="H308" s="282">
        <f>C308*Conversions!$B$50</f>
        <v>91.19816083442548</v>
      </c>
      <c r="K308">
        <f t="shared" si="64"/>
        <v>1</v>
      </c>
    </row>
    <row r="309" spans="1:11" ht="15">
      <c r="A309" s="639">
        <f t="shared" si="62"/>
        <v>55333.333333333336</v>
      </c>
      <c r="B309" s="640">
        <f t="shared" si="65"/>
        <v>16600</v>
      </c>
      <c r="C309" s="573">
        <f t="shared" si="61"/>
        <v>2.6502781219021556</v>
      </c>
      <c r="D309" s="278">
        <f>C309*Conversions!$B$53</f>
        <v>67.31706394201441</v>
      </c>
      <c r="E309" s="279">
        <f>C309*Conversions!$B$59</f>
        <v>1.3016994364366365</v>
      </c>
      <c r="F309" s="280">
        <f>H309*Conversions!$D$67</f>
        <v>0.09152463443589937</v>
      </c>
      <c r="G309" s="281">
        <f t="shared" si="63"/>
        <v>0.8974870399900804</v>
      </c>
      <c r="H309" s="282">
        <f>C309*Conversions!$B$50</f>
        <v>89.74870399900804</v>
      </c>
      <c r="K309">
        <f t="shared" si="64"/>
        <v>1</v>
      </c>
    </row>
    <row r="310" spans="1:11" ht="15">
      <c r="A310" s="639">
        <f t="shared" si="62"/>
        <v>55666.66666666667</v>
      </c>
      <c r="B310" s="640">
        <f t="shared" si="65"/>
        <v>16700</v>
      </c>
      <c r="C310" s="573">
        <f t="shared" si="61"/>
        <v>2.6081559595208037</v>
      </c>
      <c r="D310" s="278">
        <f>C310*Conversions!$B$53</f>
        <v>66.24716102315915</v>
      </c>
      <c r="E310" s="279">
        <f>C310*Conversions!$B$59</f>
        <v>1.281010892626772</v>
      </c>
      <c r="F310" s="280">
        <f>H310*Conversions!$D$67</f>
        <v>0.09006998879635575</v>
      </c>
      <c r="G310" s="281">
        <f t="shared" si="63"/>
        <v>0.8832228408778423</v>
      </c>
      <c r="H310" s="282">
        <f>C310*Conversions!$B$50</f>
        <v>88.32228408778423</v>
      </c>
      <c r="K310">
        <f t="shared" si="64"/>
        <v>1</v>
      </c>
    </row>
    <row r="311" spans="1:11" ht="15">
      <c r="A311" s="639">
        <f t="shared" si="62"/>
        <v>56000</v>
      </c>
      <c r="B311" s="640">
        <f t="shared" si="65"/>
        <v>16800</v>
      </c>
      <c r="C311" s="573">
        <f t="shared" si="61"/>
        <v>2.566703265203584</v>
      </c>
      <c r="D311" s="278">
        <f>C311*Conversions!$B$53</f>
        <v>65.19426259304333</v>
      </c>
      <c r="E311" s="279">
        <f>C311*Conversions!$B$59</f>
        <v>1.2606511619307432</v>
      </c>
      <c r="F311" s="280">
        <f>H311*Conversions!$D$67</f>
        <v>0.0886384625491996</v>
      </c>
      <c r="G311" s="281">
        <f t="shared" si="63"/>
        <v>0.8691853496368575</v>
      </c>
      <c r="H311" s="282">
        <f>C311*Conversions!$B$50</f>
        <v>86.91853496368574</v>
      </c>
      <c r="K311">
        <f t="shared" si="64"/>
        <v>1</v>
      </c>
    </row>
    <row r="312" spans="1:11" ht="15">
      <c r="A312" s="639">
        <f t="shared" si="62"/>
        <v>56333.333333333336</v>
      </c>
      <c r="B312" s="640">
        <f t="shared" si="65"/>
        <v>16900</v>
      </c>
      <c r="C312" s="573">
        <f t="shared" si="61"/>
        <v>2.5259093987681407</v>
      </c>
      <c r="D312" s="278">
        <f>C312*Conversions!$B$53</f>
        <v>64.15809839103657</v>
      </c>
      <c r="E312" s="279">
        <f>C312*Conversions!$B$59</f>
        <v>1.2406150183614124</v>
      </c>
      <c r="F312" s="280">
        <f>H312*Conversions!$D$67</f>
        <v>0.0872296882466554</v>
      </c>
      <c r="G312" s="281">
        <f t="shared" si="63"/>
        <v>0.8553709630883922</v>
      </c>
      <c r="H312" s="282">
        <f>C312*Conversions!$B$50</f>
        <v>85.53709630883922</v>
      </c>
      <c r="K312">
        <f t="shared" si="64"/>
        <v>1</v>
      </c>
    </row>
    <row r="313" spans="1:11" ht="15">
      <c r="A313" s="639">
        <f t="shared" si="62"/>
        <v>56666.66666666667</v>
      </c>
      <c r="B313" s="640">
        <f t="shared" si="65"/>
        <v>17000</v>
      </c>
      <c r="C313" s="573">
        <f t="shared" si="61"/>
        <v>2.4857638891417273</v>
      </c>
      <c r="D313" s="278">
        <f>C313*Conversions!$B$53</f>
        <v>63.138402451892496</v>
      </c>
      <c r="E313" s="279">
        <f>C313*Conversions!$B$59</f>
        <v>1.2208973189908052</v>
      </c>
      <c r="F313" s="280">
        <f>H313*Conversions!$D$67</f>
        <v>0.08584330428097438</v>
      </c>
      <c r="G313" s="281">
        <f t="shared" si="63"/>
        <v>0.8417761353207903</v>
      </c>
      <c r="H313" s="282">
        <f>C313*Conversions!$B$50</f>
        <v>84.17761353207904</v>
      </c>
      <c r="K313">
        <f t="shared" si="64"/>
        <v>1</v>
      </c>
    </row>
    <row r="314" spans="1:11" ht="15">
      <c r="A314" s="639">
        <f t="shared" si="62"/>
        <v>57000</v>
      </c>
      <c r="B314" s="640">
        <f t="shared" si="65"/>
        <v>17100</v>
      </c>
      <c r="C314" s="573">
        <f t="shared" si="61"/>
        <v>2.4462564316734605</v>
      </c>
      <c r="D314" s="278">
        <f>C314*Conversions!$B$53</f>
        <v>62.13491303748004</v>
      </c>
      <c r="E314" s="279">
        <f>C314*Conversions!$B$59</f>
        <v>1.2014930026300088</v>
      </c>
      <c r="F314" s="280">
        <f>H314*Conversions!$D$67</f>
        <v>0.08447895479161598</v>
      </c>
      <c r="G314" s="281">
        <f t="shared" si="63"/>
        <v>0.828397376779298</v>
      </c>
      <c r="H314" s="282">
        <f>C314*Conversions!$B$50</f>
        <v>82.8397376779298</v>
      </c>
      <c r="K314">
        <f t="shared" si="64"/>
        <v>1</v>
      </c>
    </row>
    <row r="315" spans="1:11" ht="15">
      <c r="A315" s="639">
        <f t="shared" si="62"/>
        <v>57333.333333333336</v>
      </c>
      <c r="B315" s="640">
        <f t="shared" si="65"/>
        <v>17200</v>
      </c>
      <c r="C315" s="573">
        <f t="shared" si="61"/>
        <v>2.407376885489296</v>
      </c>
      <c r="D315" s="278">
        <f>C315*Conversions!$B$53</f>
        <v>61.14737256959984</v>
      </c>
      <c r="E315" s="279">
        <f>C315*Conversions!$B$59</f>
        <v>1.1823970885300517</v>
      </c>
      <c r="F315" s="280">
        <f>H315*Conversions!$D$67</f>
        <v>0.08313628957390465</v>
      </c>
      <c r="G315" s="281">
        <f t="shared" si="63"/>
        <v>0.8152312533703558</v>
      </c>
      <c r="H315" s="282">
        <f>C315*Conversions!$B$50</f>
        <v>81.52312533703558</v>
      </c>
      <c r="K315">
        <f t="shared" si="64"/>
        <v>1</v>
      </c>
    </row>
    <row r="316" spans="1:11" ht="15">
      <c r="A316" s="639">
        <f t="shared" si="62"/>
        <v>57666.66666666667</v>
      </c>
      <c r="B316" s="640">
        <f t="shared" si="65"/>
        <v>17300</v>
      </c>
      <c r="C316" s="573">
        <f t="shared" si="61"/>
        <v>2.3691152708890457</v>
      </c>
      <c r="D316" s="278">
        <f>C316*Conversions!$B$53</f>
        <v>60.175527563868464</v>
      </c>
      <c r="E316" s="279">
        <f>C316*Conversions!$B$59</f>
        <v>1.1636046751034352</v>
      </c>
      <c r="F316" s="280">
        <f>H316*Conversions!$D$67</f>
        <v>0.08181496398913855</v>
      </c>
      <c r="G316" s="281">
        <f t="shared" si="63"/>
        <v>0.802274385580128</v>
      </c>
      <c r="H316" s="282">
        <f>C316*Conversions!$B$50</f>
        <v>80.22743855801279</v>
      </c>
      <c r="K316">
        <f t="shared" si="64"/>
        <v>1</v>
      </c>
    </row>
    <row r="317" spans="1:11" ht="15">
      <c r="A317" s="639">
        <f t="shared" si="62"/>
        <v>58000</v>
      </c>
      <c r="B317" s="640">
        <f t="shared" si="65"/>
        <v>17400</v>
      </c>
      <c r="C317" s="573">
        <f aca="true" t="shared" si="66" ref="C317:C339">C$19*EXP((-G$18*H$18*(A317-B$19))/(F$18*D$19))</f>
        <v>2.331461766784765</v>
      </c>
      <c r="D317" s="278">
        <f>C317*Conversions!$B$53</f>
        <v>59.21912856465341</v>
      </c>
      <c r="E317" s="279">
        <f>C317*Conversions!$B$59</f>
        <v>1.1451109386659821</v>
      </c>
      <c r="F317" s="280">
        <f>H317*Conversions!$D$67</f>
        <v>0.08051463887612682</v>
      </c>
      <c r="G317" s="281">
        <f t="shared" si="63"/>
        <v>0.7895234476070404</v>
      </c>
      <c r="H317" s="282">
        <f>C317*Conversions!$B$50</f>
        <v>78.95234476070404</v>
      </c>
      <c r="K317">
        <f t="shared" si="64"/>
        <v>1</v>
      </c>
    </row>
    <row r="318" spans="1:11" ht="15">
      <c r="A318" s="639">
        <f t="shared" si="62"/>
        <v>58333.333333333336</v>
      </c>
      <c r="B318" s="640">
        <f t="shared" si="65"/>
        <v>17500</v>
      </c>
      <c r="C318" s="573">
        <f t="shared" si="66"/>
        <v>2.294406708179845</v>
      </c>
      <c r="D318" s="278">
        <f>C318*Conversions!$B$53</f>
        <v>58.277930081042115</v>
      </c>
      <c r="E318" s="279">
        <f>C318*Conversions!$B$59</f>
        <v>1.1269111321986776</v>
      </c>
      <c r="F318" s="280">
        <f>H318*Conversions!$D$67</f>
        <v>0.07923498046413267</v>
      </c>
      <c r="G318" s="281">
        <f t="shared" si="63"/>
        <v>0.7769751665081043</v>
      </c>
      <c r="H318" s="282">
        <f>C318*Conversions!$B$50</f>
        <v>77.69751665081043</v>
      </c>
      <c r="K318">
        <f t="shared" si="64"/>
        <v>1</v>
      </c>
    </row>
    <row r="319" spans="1:11" ht="15">
      <c r="A319" s="639">
        <f t="shared" si="62"/>
        <v>58666.66666666667</v>
      </c>
      <c r="B319" s="640">
        <f t="shared" si="65"/>
        <v>17600</v>
      </c>
      <c r="C319" s="573">
        <f t="shared" si="66"/>
        <v>2.2579405836881814</v>
      </c>
      <c r="D319" s="278">
        <f>C319*Conversions!$B$53</f>
        <v>57.35169052382881</v>
      </c>
      <c r="E319" s="279">
        <f>C319*Conversions!$B$59</f>
        <v>1.1090005841291948</v>
      </c>
      <c r="F319" s="280">
        <f>H319*Conversions!$D$67</f>
        <v>0.07797566028720043</v>
      </c>
      <c r="G319" s="281">
        <f t="shared" si="63"/>
        <v>0.7646263213588098</v>
      </c>
      <c r="H319" s="282">
        <f>C319*Conversions!$B$50</f>
        <v>76.46263213588098</v>
      </c>
      <c r="K319">
        <f t="shared" si="64"/>
        <v>1</v>
      </c>
    </row>
    <row r="320" spans="1:11" ht="15">
      <c r="A320" s="639">
        <f t="shared" si="62"/>
        <v>59000</v>
      </c>
      <c r="B320" s="640">
        <f t="shared" si="65"/>
        <v>17700</v>
      </c>
      <c r="C320" s="573">
        <f t="shared" si="66"/>
        <v>2.222054033092769</v>
      </c>
      <c r="D320" s="278">
        <f>C320*Conversions!$B$53</f>
        <v>56.4401721435028</v>
      </c>
      <c r="E320" s="279">
        <f>C320*Conversions!$B$59</f>
        <v>1.0913746971327856</v>
      </c>
      <c r="F320" s="280">
        <f>H320*Conversions!$D$67</f>
        <v>0.07673635509984401</v>
      </c>
      <c r="G320" s="281">
        <f t="shared" si="63"/>
        <v>0.7524737424263712</v>
      </c>
      <c r="H320" s="282">
        <f>C320*Conversions!$B$50</f>
        <v>75.24737424263712</v>
      </c>
      <c r="K320">
        <f t="shared" si="64"/>
        <v>1</v>
      </c>
    </row>
    <row r="321" spans="1:11" ht="15">
      <c r="A321" s="639">
        <f t="shared" si="62"/>
        <v>59333.333333333336</v>
      </c>
      <c r="B321" s="640">
        <f t="shared" si="65"/>
        <v>17800</v>
      </c>
      <c r="C321" s="573">
        <f t="shared" si="66"/>
        <v>2.1867378449430905</v>
      </c>
      <c r="D321" s="278">
        <f>C321*Conversions!$B$53</f>
        <v>55.54314096922218</v>
      </c>
      <c r="E321" s="279">
        <f>C321*Conversions!$B$59</f>
        <v>1.0740289469522226</v>
      </c>
      <c r="F321" s="280">
        <f>H321*Conversions!$D$67</f>
        <v>0.07551674679407538</v>
      </c>
      <c r="G321" s="281">
        <f t="shared" si="63"/>
        <v>0.7405143103561102</v>
      </c>
      <c r="H321" s="282">
        <f>C321*Conversions!$B$50</f>
        <v>74.05143103561102</v>
      </c>
      <c r="K321">
        <f t="shared" si="64"/>
        <v>1</v>
      </c>
    </row>
    <row r="322" spans="1:11" ht="15">
      <c r="A322" s="639">
        <f t="shared" si="62"/>
        <v>59666.66666666667</v>
      </c>
      <c r="B322" s="640">
        <f t="shared" si="65"/>
        <v>17900</v>
      </c>
      <c r="C322" s="573">
        <f t="shared" si="66"/>
        <v>2.1519829541907067</v>
      </c>
      <c r="D322" s="278">
        <f>C322*Conversions!$B$53</f>
        <v>54.660366748757816</v>
      </c>
      <c r="E322" s="279">
        <f>C322*Conversions!$B$59</f>
        <v>1.0569588812365063</v>
      </c>
      <c r="F322" s="280">
        <f>H322*Conversions!$D$67</f>
        <v>0.07431652231775192</v>
      </c>
      <c r="G322" s="281">
        <f t="shared" si="63"/>
        <v>0.7287449553707743</v>
      </c>
      <c r="H322" s="282">
        <f>C322*Conversions!$B$50</f>
        <v>72.87449553707744</v>
      </c>
      <c r="K322">
        <f t="shared" si="64"/>
        <v>1</v>
      </c>
    </row>
    <row r="323" spans="1:11" ht="15">
      <c r="A323" s="639">
        <f t="shared" si="62"/>
        <v>60000</v>
      </c>
      <c r="B323" s="640">
        <f t="shared" si="65"/>
        <v>18000</v>
      </c>
      <c r="C323" s="573">
        <f t="shared" si="66"/>
        <v>2.1177804398624134</v>
      </c>
      <c r="D323" s="278">
        <f>C323*Conversions!$B$53</f>
        <v>53.7916228893915</v>
      </c>
      <c r="E323" s="279">
        <f>C323*Conversions!$B$59</f>
        <v>1.040160118398023</v>
      </c>
      <c r="F323" s="280">
        <f>H323*Conversions!$D$67</f>
        <v>0.07313537359422138</v>
      </c>
      <c r="G323" s="281">
        <f t="shared" si="63"/>
        <v>0.7171626564825782</v>
      </c>
      <c r="H323" s="282">
        <f>C323*Conversions!$B$50</f>
        <v>71.71626564825782</v>
      </c>
      <c r="K323">
        <f t="shared" si="64"/>
        <v>1</v>
      </c>
    </row>
    <row r="324" spans="1:11" ht="15">
      <c r="A324" s="639">
        <f t="shared" si="62"/>
        <v>60333.333333333336</v>
      </c>
      <c r="B324" s="640">
        <f t="shared" si="65"/>
        <v>18100</v>
      </c>
      <c r="C324" s="573">
        <f t="shared" si="66"/>
        <v>2.084121522770379</v>
      </c>
      <c r="D324" s="278">
        <f>C324*Conversions!$B$53</f>
        <v>52.93668639975349</v>
      </c>
      <c r="E324" s="279">
        <f>C324*Conversions!$B$59</f>
        <v>1.0236283464878648</v>
      </c>
      <c r="F324" s="280">
        <f>H324*Conversions!$D$67</f>
        <v>0.07197299744324381</v>
      </c>
      <c r="G324" s="281">
        <f t="shared" si="63"/>
        <v>0.7057644407177662</v>
      </c>
      <c r="H324" s="282">
        <f>C324*Conversions!$B$50</f>
        <v>70.57644407177662</v>
      </c>
      <c r="K324">
        <f t="shared" si="64"/>
        <v>1</v>
      </c>
    </row>
    <row r="325" spans="1:11" ht="15">
      <c r="A325" s="639">
        <f t="shared" si="62"/>
        <v>60666.66666666667</v>
      </c>
      <c r="B325" s="640">
        <f t="shared" si="65"/>
        <v>18200</v>
      </c>
      <c r="C325" s="573">
        <f t="shared" si="66"/>
        <v>2.050997563258689</v>
      </c>
      <c r="D325" s="278">
        <f>C325*Conversions!$B$53</f>
        <v>52.09533783258472</v>
      </c>
      <c r="E325" s="279">
        <f>C325*Conversions!$B$59</f>
        <v>1.007359322089033</v>
      </c>
      <c r="F325" s="280">
        <f>H325*Conversions!$D$67</f>
        <v>0.07082909550317079</v>
      </c>
      <c r="G325" s="281">
        <f t="shared" si="63"/>
        <v>0.6945473823535062</v>
      </c>
      <c r="H325" s="282">
        <f>C325*Conversions!$B$50</f>
        <v>69.45473823535062</v>
      </c>
      <c r="K325">
        <f t="shared" si="64"/>
        <v>1</v>
      </c>
    </row>
    <row r="326" spans="1:11" ht="15">
      <c r="A326" s="639">
        <f t="shared" si="62"/>
        <v>61000</v>
      </c>
      <c r="B326" s="640">
        <f t="shared" si="65"/>
        <v>18300</v>
      </c>
      <c r="C326" s="573">
        <f t="shared" si="66"/>
        <v>2.0184000589856916</v>
      </c>
      <c r="D326" s="278">
        <f>C326*Conversions!$B$53</f>
        <v>51.267361228408355</v>
      </c>
      <c r="E326" s="279">
        <f>C326*Conversions!$B$59</f>
        <v>0.9913488692272225</v>
      </c>
      <c r="F326" s="280">
        <f>H326*Conversions!$D$67</f>
        <v>0.06970337415436101</v>
      </c>
      <c r="G326" s="281">
        <f t="shared" si="63"/>
        <v>0.6835086021669048</v>
      </c>
      <c r="H326" s="282">
        <f>C326*Conversions!$B$50</f>
        <v>68.35086021669048</v>
      </c>
      <c r="K326">
        <f t="shared" si="64"/>
        <v>1</v>
      </c>
    </row>
    <row r="327" spans="1:11" ht="15">
      <c r="A327" s="639">
        <f t="shared" si="62"/>
        <v>61333.333333333336</v>
      </c>
      <c r="B327" s="640">
        <f t="shared" si="65"/>
        <v>18400</v>
      </c>
      <c r="C327" s="573">
        <f t="shared" si="66"/>
        <v>1.9863206427415934</v>
      </c>
      <c r="D327" s="278">
        <f>C327*Conversions!$B$53</f>
        <v>50.45254406009677</v>
      </c>
      <c r="E327" s="279">
        <f>C327*Conversions!$B$59</f>
        <v>0.9755928782989237</v>
      </c>
      <c r="F327" s="280">
        <f>H327*Conversions!$D$67</f>
        <v>0.06859554444381316</v>
      </c>
      <c r="G327" s="281">
        <f t="shared" si="63"/>
        <v>0.6726452666959613</v>
      </c>
      <c r="H327" s="282">
        <f>C327*Conversions!$B$50</f>
        <v>67.26452666959612</v>
      </c>
      <c r="K327">
        <f t="shared" si="64"/>
        <v>1</v>
      </c>
    </row>
    <row r="328" spans="1:11" ht="15">
      <c r="A328" s="639">
        <f t="shared" si="62"/>
        <v>61666.66666666667</v>
      </c>
      <c r="B328" s="640">
        <f t="shared" si="65"/>
        <v>18500</v>
      </c>
      <c r="C328" s="573">
        <f t="shared" si="66"/>
        <v>1.9547510803007486</v>
      </c>
      <c r="D328" s="278">
        <f>C328*Conversions!$B$53</f>
        <v>49.65067717831966</v>
      </c>
      <c r="E328" s="279">
        <f>C328*Conversions!$B$59</f>
        <v>0.9600873050165601</v>
      </c>
      <c r="F328" s="280">
        <f>H328*Conversions!$D$67</f>
        <v>0.067505322010997</v>
      </c>
      <c r="G328" s="281">
        <f t="shared" si="63"/>
        <v>0.6619545875122683</v>
      </c>
      <c r="H328" s="282">
        <f>C328*Conversions!$B$50</f>
        <v>66.19545875122684</v>
      </c>
      <c r="K328">
        <f t="shared" si="64"/>
        <v>1</v>
      </c>
    </row>
    <row r="329" spans="1:11" ht="15">
      <c r="A329" s="639">
        <f t="shared" si="62"/>
        <v>62000</v>
      </c>
      <c r="B329" s="640">
        <f t="shared" si="65"/>
        <v>18600</v>
      </c>
      <c r="C329" s="573">
        <f t="shared" si="66"/>
        <v>1.9236832683080758</v>
      </c>
      <c r="D329" s="278">
        <f>C329*Conversions!$B$53</f>
        <v>48.861554757859054</v>
      </c>
      <c r="E329" s="279">
        <f>C329*Conversions!$B$59</f>
        <v>0.9448281693703902</v>
      </c>
      <c r="F329" s="280">
        <f>H329*Conversions!$D$67</f>
        <v>0.06643242701486285</v>
      </c>
      <c r="G329" s="281">
        <f t="shared" si="63"/>
        <v>0.6514338205052721</v>
      </c>
      <c r="H329" s="282">
        <f>C329*Conversions!$B$50</f>
        <v>65.14338205052721</v>
      </c>
      <c r="K329">
        <f t="shared" si="64"/>
        <v>1</v>
      </c>
    </row>
    <row r="330" spans="1:11" ht="15">
      <c r="A330" s="639">
        <f t="shared" si="62"/>
        <v>62333.333333333336</v>
      </c>
      <c r="B330" s="640">
        <f t="shared" si="65"/>
        <v>18700</v>
      </c>
      <c r="C330" s="573">
        <f t="shared" si="66"/>
        <v>1.8931092321990628</v>
      </c>
      <c r="D330" s="278">
        <f>C330*Conversions!$B$53</f>
        <v>48.084974244777385</v>
      </c>
      <c r="E330" s="279">
        <f>C330*Conversions!$B$59</f>
        <v>0.9298115546069058</v>
      </c>
      <c r="F330" s="280">
        <f>H330*Conversions!$D$67</f>
        <v>0.06537658406201116</v>
      </c>
      <c r="G330" s="281">
        <f t="shared" si="63"/>
        <v>0.6410802651779037</v>
      </c>
      <c r="H330" s="282">
        <f>C330*Conversions!$B$50</f>
        <v>64.10802651779038</v>
      </c>
      <c r="K330">
        <f t="shared" si="64"/>
        <v>1</v>
      </c>
    </row>
    <row r="331" spans="1:11" ht="15">
      <c r="A331" s="639">
        <f t="shared" si="62"/>
        <v>62666.66666666667</v>
      </c>
      <c r="B331" s="640">
        <f t="shared" si="65"/>
        <v>18800</v>
      </c>
      <c r="C331" s="573">
        <f t="shared" si="66"/>
        <v>1.8630211241528427</v>
      </c>
      <c r="D331" s="278">
        <f>C331*Conversions!$B$53</f>
        <v>47.3207363044257</v>
      </c>
      <c r="E331" s="279">
        <f>C331*Conversions!$B$59</f>
        <v>0.9150336062234737</v>
      </c>
      <c r="F331" s="280">
        <f>H331*Conversions!$D$67</f>
        <v>0.06433752213600406</v>
      </c>
      <c r="G331" s="281">
        <f t="shared" si="63"/>
        <v>0.6308912639534124</v>
      </c>
      <c r="H331" s="282">
        <f>C331*Conversions!$B$50</f>
        <v>63.08912639534124</v>
      </c>
      <c r="K331">
        <f t="shared" si="64"/>
        <v>1</v>
      </c>
    </row>
    <row r="332" spans="1:11" ht="15">
      <c r="A332" s="639">
        <f t="shared" si="62"/>
        <v>63000</v>
      </c>
      <c r="B332" s="640">
        <f t="shared" si="65"/>
        <v>18900</v>
      </c>
      <c r="C332" s="573">
        <f t="shared" si="66"/>
        <v>1.8334112210777904</v>
      </c>
      <c r="D332" s="278">
        <f>C332*Conversions!$B$53</f>
        <v>46.56864477027775</v>
      </c>
      <c r="E332" s="279">
        <f>C332*Conversions!$B$59</f>
        <v>0.9004905309789497</v>
      </c>
      <c r="F332" s="280">
        <f>H332*Conversions!$D$67</f>
        <v>0.06331497452780001</v>
      </c>
      <c r="G332" s="281">
        <f t="shared" si="63"/>
        <v>0.6208642014932095</v>
      </c>
      <c r="H332" s="282">
        <f>C332*Conversions!$B$50</f>
        <v>62.08642014932096</v>
      </c>
      <c r="K332">
        <f t="shared" si="64"/>
        <v>1</v>
      </c>
    </row>
    <row r="333" spans="1:11" ht="15">
      <c r="A333" s="639">
        <f t="shared" si="62"/>
        <v>63333.333333333336</v>
      </c>
      <c r="B333" s="640">
        <f t="shared" si="65"/>
        <v>19000</v>
      </c>
      <c r="C333" s="573">
        <f t="shared" si="66"/>
        <v>1.8042719226291417</v>
      </c>
      <c r="D333" s="278">
        <f>C333*Conversions!$B$53</f>
        <v>45.828506593577536</v>
      </c>
      <c r="E333" s="279">
        <f>C333*Conversions!$B$59</f>
        <v>0.8861785959200202</v>
      </c>
      <c r="F333" s="280">
        <f>H333*Conversions!$D$67</f>
        <v>0.06230867876729431</v>
      </c>
      <c r="G333" s="281">
        <f t="shared" si="63"/>
        <v>0.6109965040255584</v>
      </c>
      <c r="H333" s="282">
        <f>C333*Conversions!$B$50</f>
        <v>61.09965040255584</v>
      </c>
      <c r="K333">
        <f t="shared" si="64"/>
        <v>1</v>
      </c>
    </row>
    <row r="334" spans="1:11" ht="15">
      <c r="A334" s="639">
        <f t="shared" si="62"/>
        <v>63666.66666666667</v>
      </c>
      <c r="B334" s="640">
        <f t="shared" si="65"/>
        <v>19100</v>
      </c>
      <c r="C334" s="573">
        <f t="shared" si="66"/>
        <v>1.7755957492581167</v>
      </c>
      <c r="D334" s="278">
        <f>C334*Conversions!$B$53</f>
        <v>45.10013179378705</v>
      </c>
      <c r="E334" s="279">
        <f>C334*Conversions!$B$59</f>
        <v>0.8720941274230191</v>
      </c>
      <c r="F334" s="280">
        <f>H334*Conversions!$D$67</f>
        <v>0.061318376555947594</v>
      </c>
      <c r="G334" s="281">
        <f t="shared" si="63"/>
        <v>0.6012856386849307</v>
      </c>
      <c r="H334" s="282">
        <f>C334*Conversions!$B$50</f>
        <v>60.12856386849307</v>
      </c>
      <c r="K334">
        <f t="shared" si="64"/>
        <v>1</v>
      </c>
    </row>
    <row r="335" spans="1:11" ht="15">
      <c r="A335" s="639">
        <f t="shared" si="62"/>
        <v>64000</v>
      </c>
      <c r="B335" s="640">
        <f t="shared" si="65"/>
        <v>19200</v>
      </c>
      <c r="C335" s="573">
        <f t="shared" si="66"/>
        <v>1.747375340292054</v>
      </c>
      <c r="D335" s="278">
        <f>C335*Conversions!$B$53</f>
        <v>44.38333340982168</v>
      </c>
      <c r="E335" s="279">
        <f>C335*Conversions!$B$59</f>
        <v>0.8582335102509729</v>
      </c>
      <c r="F335" s="280">
        <f>H335*Conversions!$D$67</f>
        <v>0.0603438137004852</v>
      </c>
      <c r="G335" s="281">
        <f t="shared" si="63"/>
        <v>0.591729112861866</v>
      </c>
      <c r="H335" s="282">
        <f>C335*Conversions!$B$50</f>
        <v>59.172911286186604</v>
      </c>
      <c r="K335">
        <f t="shared" si="64"/>
        <v>1</v>
      </c>
    </row>
    <row r="336" spans="1:11" ht="15">
      <c r="A336" s="639">
        <f t="shared" si="62"/>
        <v>64333.333333333336</v>
      </c>
      <c r="B336" s="640">
        <f t="shared" si="65"/>
        <v>19300</v>
      </c>
      <c r="C336" s="573">
        <f t="shared" si="66"/>
        <v>1.7196034520450474</v>
      </c>
      <c r="D336" s="278">
        <f>C336*Conversions!$B$53</f>
        <v>43.67792745206038</v>
      </c>
      <c r="E336" s="279">
        <f>C336*Conversions!$B$59</f>
        <v>0.8445931866256307</v>
      </c>
      <c r="F336" s="280">
        <f>H336*Conversions!$D$67</f>
        <v>0.05938474004764999</v>
      </c>
      <c r="G336" s="281">
        <f t="shared" si="63"/>
        <v>0.5823244735631602</v>
      </c>
      <c r="H336" s="282">
        <f>C336*Conversions!$B$50</f>
        <v>58.23244735631602</v>
      </c>
      <c r="K336">
        <f t="shared" si="64"/>
        <v>1</v>
      </c>
    </row>
    <row r="337" spans="1:11" ht="15">
      <c r="A337" s="639">
        <f aca="true" t="shared" si="67" ref="A337:A400">B337*(1/0.3)</f>
        <v>64666.66666666667</v>
      </c>
      <c r="B337" s="640">
        <f t="shared" si="65"/>
        <v>19400</v>
      </c>
      <c r="C337" s="573">
        <f t="shared" si="66"/>
        <v>1.6922729559586258</v>
      </c>
      <c r="D337" s="278">
        <f>C337*Conversions!$B$53</f>
        <v>42.98373285511892</v>
      </c>
      <c r="E337" s="279">
        <f>C337*Conversions!$B$59</f>
        <v>0.8311696553142469</v>
      </c>
      <c r="F337" s="280">
        <f>H337*Conversions!$D$67</f>
        <v>0.05844090941999262</v>
      </c>
      <c r="G337" s="281">
        <f aca="true" t="shared" si="68" ref="G337:G400">H337/100</f>
        <v>0.573069306782227</v>
      </c>
      <c r="H337" s="282">
        <f>C337*Conversions!$B$50</f>
        <v>57.3069306782227</v>
      </c>
      <c r="K337">
        <f aca="true" t="shared" si="69" ref="K337:K400">K336</f>
        <v>1</v>
      </c>
    </row>
    <row r="338" spans="1:11" ht="15">
      <c r="A338" s="639">
        <f t="shared" si="67"/>
        <v>65000</v>
      </c>
      <c r="B338" s="640">
        <f t="shared" si="65"/>
        <v>19500</v>
      </c>
      <c r="C338" s="573">
        <f t="shared" si="66"/>
        <v>1.6653768367719732</v>
      </c>
      <c r="D338" s="278">
        <f>C338*Conversions!$B$53</f>
        <v>42.300571431373534</v>
      </c>
      <c r="E338" s="279">
        <f>C338*Conversions!$B$59</f>
        <v>0.8179594707308756</v>
      </c>
      <c r="F338" s="280">
        <f>H338*Conversions!$D$67</f>
        <v>0.057512079552681956</v>
      </c>
      <c r="G338" s="281">
        <f t="shared" si="68"/>
        <v>0.5639612368794636</v>
      </c>
      <c r="H338" s="282">
        <f>C338*Conversions!$B$50</f>
        <v>56.396123687946364</v>
      </c>
      <c r="K338">
        <f t="shared" si="69"/>
        <v>1</v>
      </c>
    </row>
    <row r="339" spans="1:11" ht="15">
      <c r="A339" s="644">
        <f t="shared" si="67"/>
        <v>65333.333333333336</v>
      </c>
      <c r="B339" s="645">
        <f t="shared" si="65"/>
        <v>19600</v>
      </c>
      <c r="C339" s="658">
        <f t="shared" si="66"/>
        <v>1.6389081907212317</v>
      </c>
      <c r="D339" s="646">
        <f>C339*Conversions!$B$53</f>
        <v>41.62826782522314</v>
      </c>
      <c r="E339" s="647">
        <f>C339*Conversions!$B$59</f>
        <v>0.8049592420519464</v>
      </c>
      <c r="F339" s="648">
        <f>H339*Conversions!$D$67</f>
        <v>0.056598012031319846</v>
      </c>
      <c r="G339" s="649">
        <f t="shared" si="68"/>
        <v>0.5549979259724651</v>
      </c>
      <c r="H339" s="569">
        <f>C339*Conversions!$B$50</f>
        <v>55.49979259724651</v>
      </c>
      <c r="I339" s="571"/>
      <c r="J339" s="651"/>
      <c r="K339" s="652">
        <f t="shared" si="69"/>
        <v>1</v>
      </c>
    </row>
    <row r="340" spans="1:12" ht="15">
      <c r="A340" s="653">
        <f t="shared" si="67"/>
        <v>65666.66666666667</v>
      </c>
      <c r="B340" s="654">
        <f t="shared" si="65"/>
        <v>19700</v>
      </c>
      <c r="C340" s="573">
        <f>C$20*((D$20/(D$20+(E$20*(A340-B$20))))^((G$18*H$18)/(F$18*E$20)))</f>
        <v>1.612863847200133</v>
      </c>
      <c r="D340" s="573">
        <f>C340*Conversions!$B$53</f>
        <v>40.966741503268956</v>
      </c>
      <c r="E340" s="380">
        <f>C340*Conversions!$B$59</f>
        <v>0.7921674120158427</v>
      </c>
      <c r="F340" s="655">
        <f>H340*Conversions!$D$67</f>
        <v>0.05569859736227344</v>
      </c>
      <c r="G340" s="656">
        <f t="shared" si="68"/>
        <v>0.5461783003708851</v>
      </c>
      <c r="H340" s="574">
        <f>C340*Conversions!$B$50</f>
        <v>54.61783003708851</v>
      </c>
      <c r="K340" s="657">
        <f>K339+1</f>
        <v>2</v>
      </c>
      <c r="L340" s="420" t="s">
        <v>327</v>
      </c>
    </row>
    <row r="341" spans="1:11" ht="15">
      <c r="A341" s="639">
        <f t="shared" si="67"/>
        <v>66000</v>
      </c>
      <c r="B341" s="640">
        <f t="shared" si="65"/>
        <v>19800</v>
      </c>
      <c r="C341" s="573">
        <f aca="true" t="shared" si="70" ref="C341:C404">C$20*((D$20/(D$20+(E$20*(A341-B$20))))^((G$18*H$18)/(F$18*E$20)))</f>
        <v>1.5872375595478359</v>
      </c>
      <c r="D341" s="278">
        <f>C341*Conversions!$B$53</f>
        <v>40.31583380032644</v>
      </c>
      <c r="E341" s="279">
        <f>C341*Conversions!$B$59</f>
        <v>0.7795809125389437</v>
      </c>
      <c r="F341" s="280">
        <f>H341*Conversions!$D$67</f>
        <v>0.05481361982352278</v>
      </c>
      <c r="G341" s="281">
        <f t="shared" si="68"/>
        <v>0.5375002447129047</v>
      </c>
      <c r="H341" s="282">
        <f>C341*Conversions!$B$50</f>
        <v>53.75002447129047</v>
      </c>
      <c r="J341" s="517">
        <v>0</v>
      </c>
      <c r="K341">
        <f t="shared" si="69"/>
        <v>2</v>
      </c>
    </row>
    <row r="342" spans="1:11" ht="15">
      <c r="A342" s="639">
        <f t="shared" si="67"/>
        <v>66333.33333333334</v>
      </c>
      <c r="B342" s="640">
        <f t="shared" si="65"/>
        <v>19900</v>
      </c>
      <c r="C342" s="573">
        <f t="shared" si="70"/>
        <v>1.5620301631951776</v>
      </c>
      <c r="D342" s="278">
        <f>C342*Conversions!$B$53</f>
        <v>39.67556593633875</v>
      </c>
      <c r="E342" s="279">
        <f>C342*Conversions!$B$59</f>
        <v>0.7672001539479397</v>
      </c>
      <c r="F342" s="280">
        <f>H342*Conversions!$D$67</f>
        <v>0.053943108265814256</v>
      </c>
      <c r="G342" s="281">
        <f t="shared" si="68"/>
        <v>0.528964041907832</v>
      </c>
      <c r="H342" s="282">
        <f>C342*Conversions!$B$50</f>
        <v>52.8964041907832</v>
      </c>
      <c r="J342" s="517">
        <v>36089</v>
      </c>
      <c r="K342">
        <f t="shared" si="69"/>
        <v>2</v>
      </c>
    </row>
    <row r="343" spans="1:11" ht="15">
      <c r="A343" s="639">
        <f t="shared" si="67"/>
        <v>66666.66666666667</v>
      </c>
      <c r="B343" s="640">
        <f t="shared" si="65"/>
        <v>20000</v>
      </c>
      <c r="C343" s="573">
        <f t="shared" si="70"/>
        <v>1.5372346194277131</v>
      </c>
      <c r="D343" s="278">
        <f>C343*Conversions!$B$53</f>
        <v>39.04575912795992</v>
      </c>
      <c r="E343" s="279">
        <f>C343*Conversions!$B$59</f>
        <v>0.7550216791374986</v>
      </c>
      <c r="F343" s="280">
        <f>H343*Conversions!$D$67</f>
        <v>0.05308681961436973</v>
      </c>
      <c r="G343" s="281">
        <f t="shared" si="68"/>
        <v>0.5205673083737551</v>
      </c>
      <c r="H343" s="282">
        <f>C343*Conversions!$B$50</f>
        <v>52.05673083737551</v>
      </c>
      <c r="I343" s="79" t="str">
        <f>CONCATENATE("L",M138,"/F",N138)</f>
        <v>L2/F1</v>
      </c>
      <c r="J343" s="642">
        <v>65617</v>
      </c>
      <c r="K343">
        <f t="shared" si="69"/>
        <v>2</v>
      </c>
    </row>
    <row r="344" spans="1:11" ht="15">
      <c r="A344" s="639">
        <f t="shared" si="67"/>
        <v>67000</v>
      </c>
      <c r="B344" s="640">
        <f t="shared" si="65"/>
        <v>20100</v>
      </c>
      <c r="C344" s="573">
        <f t="shared" si="70"/>
        <v>1.5128440110179433</v>
      </c>
      <c r="D344" s="278">
        <f>C344*Conversions!$B$53</f>
        <v>38.426237677612406</v>
      </c>
      <c r="E344" s="279">
        <f>C344*Conversions!$B$59</f>
        <v>0.7430420906713051</v>
      </c>
      <c r="F344" s="280">
        <f>H344*Conversions!$D$67</f>
        <v>0.05224451498983804</v>
      </c>
      <c r="G344" s="281">
        <f t="shared" si="68"/>
        <v>0.5123077016689576</v>
      </c>
      <c r="H344" s="282">
        <f>C344*Conversions!$B$50</f>
        <v>51.23077016689575</v>
      </c>
      <c r="J344" s="642">
        <v>104987</v>
      </c>
      <c r="K344">
        <f t="shared" si="69"/>
        <v>2</v>
      </c>
    </row>
    <row r="345" spans="1:11" ht="15">
      <c r="A345" s="639">
        <f t="shared" si="67"/>
        <v>67333.33333333334</v>
      </c>
      <c r="B345" s="640">
        <f t="shared" si="65"/>
        <v>20200</v>
      </c>
      <c r="C345" s="573">
        <f t="shared" si="70"/>
        <v>1.4888515400730258</v>
      </c>
      <c r="D345" s="278">
        <f>C345*Conversions!$B$53</f>
        <v>37.81682891881891</v>
      </c>
      <c r="E345" s="279">
        <f>C345*Conversions!$B$59</f>
        <v>0.731258049724951</v>
      </c>
      <c r="F345" s="280">
        <f>H345*Conversions!$D$67</f>
        <v>0.05141595963396789</v>
      </c>
      <c r="G345" s="281">
        <f t="shared" si="68"/>
        <v>0.5041829197630693</v>
      </c>
      <c r="H345" s="282">
        <f>C345*Conversions!$B$50</f>
        <v>50.41829197630693</v>
      </c>
      <c r="J345" s="517">
        <v>154199</v>
      </c>
      <c r="K345">
        <f t="shared" si="69"/>
        <v>2</v>
      </c>
    </row>
    <row r="346" spans="1:11" ht="15">
      <c r="A346" s="639">
        <f t="shared" si="67"/>
        <v>67666.66666666667</v>
      </c>
      <c r="B346" s="640">
        <f aca="true" t="shared" si="71" ref="B346:B409">B345+100</f>
        <v>20300</v>
      </c>
      <c r="C346" s="573">
        <f t="shared" si="70"/>
        <v>1.4652505259216742</v>
      </c>
      <c r="D346" s="278">
        <f>C346*Conversions!$B$53</f>
        <v>37.217363162529665</v>
      </c>
      <c r="E346" s="279">
        <f>C346*Conversions!$B$59</f>
        <v>0.7196662750480736</v>
      </c>
      <c r="F346" s="280">
        <f>H346*Conversions!$D$67</f>
        <v>0.050600922836634095</v>
      </c>
      <c r="G346" s="281">
        <f t="shared" si="68"/>
        <v>0.49619070032148926</v>
      </c>
      <c r="H346" s="282">
        <f>C346*Conversions!$B$50</f>
        <v>49.619070032148926</v>
      </c>
      <c r="J346" s="517">
        <v>167323</v>
      </c>
      <c r="K346">
        <f t="shared" si="69"/>
        <v>2</v>
      </c>
    </row>
    <row r="347" spans="1:11" ht="15">
      <c r="A347" s="639">
        <f t="shared" si="67"/>
        <v>68000</v>
      </c>
      <c r="B347" s="640">
        <f t="shared" si="71"/>
        <v>20400</v>
      </c>
      <c r="C347" s="573">
        <f t="shared" si="70"/>
        <v>1.4420344030393233</v>
      </c>
      <c r="D347" s="278">
        <f>C347*Conversions!$B$53</f>
        <v>36.627673644421584</v>
      </c>
      <c r="E347" s="279">
        <f>C347*Conversions!$B$59</f>
        <v>0.7082635419452888</v>
      </c>
      <c r="F347" s="280">
        <f>H347*Conversions!$D$67</f>
        <v>0.04979917786418531</v>
      </c>
      <c r="G347" s="281">
        <f t="shared" si="68"/>
        <v>0.4883288200027654</v>
      </c>
      <c r="H347" s="282">
        <f>C347*Conversions!$B$50</f>
        <v>48.83288200027654</v>
      </c>
      <c r="J347" s="506">
        <v>232940</v>
      </c>
      <c r="K347">
        <f t="shared" si="69"/>
        <v>2</v>
      </c>
    </row>
    <row r="348" spans="1:11" ht="15">
      <c r="A348" s="639">
        <f t="shared" si="67"/>
        <v>68333.33333333334</v>
      </c>
      <c r="B348" s="640">
        <f t="shared" si="71"/>
        <v>20500</v>
      </c>
      <c r="C348" s="573">
        <f t="shared" si="70"/>
        <v>1.4191967190110668</v>
      </c>
      <c r="D348" s="278">
        <f>C348*Conversions!$B$53</f>
        <v>36.04759647315691</v>
      </c>
      <c r="E348" s="279">
        <f>C348*Conversions!$B$59</f>
        <v>0.6970466812756761</v>
      </c>
      <c r="F348" s="280">
        <f>H348*Conversions!$D$67</f>
        <v>0.04901050188909611</v>
      </c>
      <c r="G348" s="281">
        <f t="shared" si="68"/>
        <v>0.48059509376876625</v>
      </c>
      <c r="H348" s="282">
        <f>C348*Conversions!$B$50</f>
        <v>48.059509376876626</v>
      </c>
      <c r="J348" s="535">
        <v>280001</v>
      </c>
      <c r="K348">
        <f t="shared" si="69"/>
        <v>2</v>
      </c>
    </row>
    <row r="349" spans="1:11" ht="15">
      <c r="A349" s="639">
        <f t="shared" si="67"/>
        <v>68666.66666666667</v>
      </c>
      <c r="B349" s="640">
        <f t="shared" si="71"/>
        <v>20600</v>
      </c>
      <c r="C349" s="573">
        <f t="shared" si="70"/>
        <v>1.3967311325315064</v>
      </c>
      <c r="D349" s="278">
        <f>C349*Conversions!$B$53</f>
        <v>35.476970579579366</v>
      </c>
      <c r="E349" s="279">
        <f>C349*Conversions!$B$59</f>
        <v>0.6860125784703925</v>
      </c>
      <c r="F349" s="280">
        <f>H349*Conversions!$D$67</f>
        <v>0.04823467592089391</v>
      </c>
      <c r="G349" s="281">
        <f t="shared" si="68"/>
        <v>0.4729873742073526</v>
      </c>
      <c r="H349" s="282">
        <f>C349*Conversions!$B$50</f>
        <v>47.29873742073526</v>
      </c>
      <c r="K349">
        <f t="shared" si="69"/>
        <v>2</v>
      </c>
    </row>
    <row r="350" spans="1:11" ht="15">
      <c r="A350" s="639">
        <f t="shared" si="67"/>
        <v>69000</v>
      </c>
      <c r="B350" s="640">
        <f t="shared" si="71"/>
        <v>20700</v>
      </c>
      <c r="C350" s="573">
        <f t="shared" si="70"/>
        <v>1.3746314114408928</v>
      </c>
      <c r="D350" s="278">
        <f>C350*Conversions!$B$53</f>
        <v>34.91563766683217</v>
      </c>
      <c r="E350" s="279">
        <f>C350*Conversions!$B$59</f>
        <v>0.6751581725681125</v>
      </c>
      <c r="F350" s="280">
        <f>H350*Conversions!$D$67</f>
        <v>0.047471484738339065</v>
      </c>
      <c r="G350" s="281">
        <f t="shared" si="68"/>
        <v>0.4655035508673381</v>
      </c>
      <c r="H350" s="282">
        <f>C350*Conversions!$B$50</f>
        <v>46.55035508673381</v>
      </c>
      <c r="K350">
        <f t="shared" si="69"/>
        <v>2</v>
      </c>
    </row>
    <row r="351" spans="1:11" ht="15">
      <c r="A351" s="639">
        <f t="shared" si="67"/>
        <v>69333.33333333334</v>
      </c>
      <c r="B351" s="640">
        <f t="shared" si="71"/>
        <v>20800</v>
      </c>
      <c r="C351" s="573">
        <f t="shared" si="70"/>
        <v>1.3528914307968605</v>
      </c>
      <c r="D351" s="278">
        <f>C351*Conversions!$B$53</f>
        <v>34.363442161380036</v>
      </c>
      <c r="E351" s="279">
        <f>C351*Conversions!$B$59</f>
        <v>0.6644804552679486</v>
      </c>
      <c r="F351" s="280">
        <f>H351*Conversions!$D$67</f>
        <v>0.04672071682283421</v>
      </c>
      <c r="G351" s="281">
        <f t="shared" si="68"/>
        <v>0.45814154960550424</v>
      </c>
      <c r="H351" s="282">
        <f>C351*Conversions!$B$50</f>
        <v>45.814154960550425</v>
      </c>
      <c r="K351">
        <f t="shared" si="69"/>
        <v>2</v>
      </c>
    </row>
    <row r="352" spans="1:11" ht="15">
      <c r="A352" s="639">
        <f t="shared" si="67"/>
        <v>69666.66666666667</v>
      </c>
      <c r="B352" s="640">
        <f t="shared" si="71"/>
        <v>20900</v>
      </c>
      <c r="C352" s="573">
        <f t="shared" si="70"/>
        <v>1.3315051709811496</v>
      </c>
      <c r="D352" s="278">
        <f>C352*Conversions!$B$53</f>
        <v>33.82023116491999</v>
      </c>
      <c r="E352" s="279">
        <f>C352*Conversions!$B$59</f>
        <v>0.6539764699995579</v>
      </c>
      <c r="F352" s="280">
        <f>H352*Conversions!$D$67</f>
        <v>0.04598216429304188</v>
      </c>
      <c r="G352" s="281">
        <f t="shared" si="68"/>
        <v>0.45089933194546283</v>
      </c>
      <c r="H352" s="282">
        <f>C352*Conversions!$B$50</f>
        <v>45.08993319454628</v>
      </c>
      <c r="K352">
        <f t="shared" si="69"/>
        <v>2</v>
      </c>
    </row>
    <row r="353" spans="1:11" ht="15">
      <c r="A353" s="639">
        <f t="shared" si="67"/>
        <v>70000</v>
      </c>
      <c r="B353" s="640">
        <f t="shared" si="71"/>
        <v>21000</v>
      </c>
      <c r="C353" s="573">
        <f t="shared" si="70"/>
        <v>1.3104667158405345</v>
      </c>
      <c r="D353" s="278">
        <f>C353*Conversions!$B$53</f>
        <v>33.28585440716087</v>
      </c>
      <c r="E353" s="279">
        <f>C353*Conversions!$B$59</f>
        <v>0.6436433110100476</v>
      </c>
      <c r="F353" s="280">
        <f>H353*Conversions!$D$67</f>
        <v>0.04525562284068334</v>
      </c>
      <c r="G353" s="281">
        <f t="shared" si="68"/>
        <v>0.44377489444810203</v>
      </c>
      <c r="H353" s="282">
        <f>C353*Conversions!$B$50</f>
        <v>44.3774894448102</v>
      </c>
      <c r="K353">
        <f t="shared" si="69"/>
        <v>2</v>
      </c>
    </row>
    <row r="354" spans="1:11" ht="15">
      <c r="A354" s="639">
        <f t="shared" si="67"/>
        <v>70333.33333333334</v>
      </c>
      <c r="B354" s="640">
        <f t="shared" si="71"/>
        <v>21100</v>
      </c>
      <c r="C354" s="573">
        <f t="shared" si="70"/>
        <v>1.2897702508614919</v>
      </c>
      <c r="D354" s="278">
        <f>C354*Conversions!$B$53</f>
        <v>32.76016419945998</v>
      </c>
      <c r="E354" s="279">
        <f>C354*Conversions!$B$59</f>
        <v>0.6334781224674524</v>
      </c>
      <c r="F354" s="280">
        <f>H354*Conversions!$D$67</f>
        <v>0.044540891667502636</v>
      </c>
      <c r="G354" s="281">
        <f t="shared" si="68"/>
        <v>0.4367662680934582</v>
      </c>
      <c r="H354" s="282">
        <f>C354*Conversions!$B$50</f>
        <v>43.67662680934582</v>
      </c>
      <c r="K354">
        <f t="shared" si="69"/>
        <v>2</v>
      </c>
    </row>
    <row r="355" spans="1:11" ht="15">
      <c r="A355" s="639">
        <f t="shared" si="67"/>
        <v>70666.66666666667</v>
      </c>
      <c r="B355" s="640">
        <f t="shared" si="71"/>
        <v>21200</v>
      </c>
      <c r="C355" s="573">
        <f t="shared" si="70"/>
        <v>1.2694100613778918</v>
      </c>
      <c r="D355" s="278">
        <f>C355*Conversions!$B$53</f>
        <v>32.24301538929837</v>
      </c>
      <c r="E355" s="279">
        <f>C355*Conversions!$B$59</f>
        <v>0.6234780975804327</v>
      </c>
      <c r="F355" s="280">
        <f>H355*Conversions!$D$67</f>
        <v>0.04383777342337107</v>
      </c>
      <c r="G355" s="281">
        <f t="shared" si="68"/>
        <v>0.4298715176737707</v>
      </c>
      <c r="H355" s="282">
        <f>C355*Conversions!$B$50</f>
        <v>42.98715176737707</v>
      </c>
      <c r="K355">
        <f t="shared" si="69"/>
        <v>2</v>
      </c>
    </row>
    <row r="356" spans="1:11" ht="15">
      <c r="A356" s="639">
        <f t="shared" si="67"/>
        <v>71000</v>
      </c>
      <c r="B356" s="640">
        <f t="shared" si="71"/>
        <v>21300</v>
      </c>
      <c r="C356" s="573">
        <f t="shared" si="70"/>
        <v>1.2493805308110366</v>
      </c>
      <c r="D356" s="278">
        <f>C356*Conversions!$B$53</f>
        <v>31.734265315577883</v>
      </c>
      <c r="E356" s="279">
        <f>C356*Conversions!$B$59</f>
        <v>0.6136404777338585</v>
      </c>
      <c r="F356" s="280">
        <f>H356*Conversions!$D$67</f>
        <v>0.04314607414550872</v>
      </c>
      <c r="G356" s="281">
        <f t="shared" si="68"/>
        <v>0.4230887411974906</v>
      </c>
      <c r="H356" s="282">
        <f>C356*Conversions!$B$50</f>
        <v>42.30887411974906</v>
      </c>
      <c r="K356">
        <f t="shared" si="69"/>
        <v>2</v>
      </c>
    </row>
    <row r="357" spans="1:11" ht="15">
      <c r="A357" s="639">
        <f t="shared" si="67"/>
        <v>71333.33333333334</v>
      </c>
      <c r="B357" s="640">
        <f t="shared" si="71"/>
        <v>21400</v>
      </c>
      <c r="C357" s="573">
        <f t="shared" si="70"/>
        <v>1.2296761389416002</v>
      </c>
      <c r="D357" s="278">
        <f>C357*Conversions!$B$53</f>
        <v>31.233773764728365</v>
      </c>
      <c r="E357" s="279">
        <f>C357*Conversions!$B$59</f>
        <v>0.6039625516400632</v>
      </c>
      <c r="F357" s="280">
        <f>H357*Conversions!$D$67</f>
        <v>0.04246560319880767</v>
      </c>
      <c r="G357" s="281">
        <f t="shared" si="68"/>
        <v>0.4164160693040923</v>
      </c>
      <c r="H357" s="282">
        <f>C357*Conversions!$B$50</f>
        <v>41.64160693040923</v>
      </c>
      <c r="K357">
        <f t="shared" si="69"/>
        <v>2</v>
      </c>
    </row>
    <row r="358" spans="1:11" ht="15">
      <c r="A358" s="639">
        <f t="shared" si="67"/>
        <v>71666.66666666667</v>
      </c>
      <c r="B358" s="640">
        <f t="shared" si="71"/>
        <v>21500</v>
      </c>
      <c r="C358" s="573">
        <f t="shared" si="70"/>
        <v>1.2102914602127708</v>
      </c>
      <c r="D358" s="278">
        <f>C358*Conversions!$B$53</f>
        <v>30.741402927607524</v>
      </c>
      <c r="E358" s="279">
        <f>C358*Conversions!$B$59</f>
        <v>0.5944416545054212</v>
      </c>
      <c r="F358" s="280">
        <f>H358*Conversions!$D$67</f>
        <v>0.04179617321723271</v>
      </c>
      <c r="G358" s="281">
        <f t="shared" si="68"/>
        <v>0.4098516646894516</v>
      </c>
      <c r="H358" s="282">
        <f>C358*Conversions!$B$50</f>
        <v>40.98516646894516</v>
      </c>
      <c r="K358">
        <f t="shared" si="69"/>
        <v>2</v>
      </c>
    </row>
    <row r="359" spans="1:11" ht="15">
      <c r="A359" s="639">
        <f t="shared" si="67"/>
        <v>72000</v>
      </c>
      <c r="B359" s="640">
        <f t="shared" si="71"/>
        <v>21600</v>
      </c>
      <c r="C359" s="573">
        <f t="shared" si="70"/>
        <v>1.191221162064011</v>
      </c>
      <c r="D359" s="278">
        <f>C359*Conversions!$B$53</f>
        <v>30.25701735717842</v>
      </c>
      <c r="E359" s="279">
        <f>C359*Conversions!$B$59</f>
        <v>0.5850751672119658</v>
      </c>
      <c r="F359" s="280">
        <f>H359*Conversions!$D$67</f>
        <v>0.04113760004627957</v>
      </c>
      <c r="G359" s="281">
        <f t="shared" si="68"/>
        <v>0.4033937215415926</v>
      </c>
      <c r="H359" s="282">
        <f>C359*Conversions!$B$50</f>
        <v>40.33937215415926</v>
      </c>
      <c r="K359">
        <f t="shared" si="69"/>
        <v>2</v>
      </c>
    </row>
    <row r="360" spans="1:11" ht="15">
      <c r="A360" s="639">
        <f t="shared" si="67"/>
        <v>72333.33333333334</v>
      </c>
      <c r="B360" s="640">
        <f t="shared" si="71"/>
        <v>21700</v>
      </c>
      <c r="C360" s="573">
        <f t="shared" si="70"/>
        <v>1.1724600032949422</v>
      </c>
      <c r="D360" s="278">
        <f>C360*Conversions!$B$53</f>
        <v>29.780483926952144</v>
      </c>
      <c r="E360" s="279">
        <f>C360*Conversions!$B$59</f>
        <v>0.5758605155138009</v>
      </c>
      <c r="F360" s="280">
        <f>H360*Conversions!$D$67</f>
        <v>0.040489702686473235</v>
      </c>
      <c r="G360" s="281">
        <f t="shared" si="68"/>
        <v>0.39704046498663503</v>
      </c>
      <c r="H360" s="282">
        <f>C360*Conversions!$B$50</f>
        <v>39.7040464986635</v>
      </c>
      <c r="K360">
        <f t="shared" si="69"/>
        <v>2</v>
      </c>
    </row>
    <row r="361" spans="1:11" ht="15">
      <c r="A361" s="639">
        <f t="shared" si="67"/>
        <v>72666.66666666667</v>
      </c>
      <c r="B361" s="640">
        <f t="shared" si="71"/>
        <v>21800</v>
      </c>
      <c r="C361" s="573">
        <f t="shared" si="70"/>
        <v>1.1540028324587457</v>
      </c>
      <c r="D361" s="278">
        <f>C361*Conversions!$B$53</f>
        <v>29.311671790180185</v>
      </c>
      <c r="E361" s="279">
        <f>C361*Conversions!$B$59</f>
        <v>0.5667951692480105</v>
      </c>
      <c r="F361" s="280">
        <f>H361*Conversions!$D$67</f>
        <v>0.03985230323788578</v>
      </c>
      <c r="G361" s="281">
        <f t="shared" si="68"/>
        <v>0.39079015054473776</v>
      </c>
      <c r="H361" s="282">
        <f>C361*Conversions!$B$50</f>
        <v>39.07901505447378</v>
      </c>
      <c r="K361">
        <f t="shared" si="69"/>
        <v>2</v>
      </c>
    </row>
    <row r="362" spans="1:11" ht="15">
      <c r="A362" s="639">
        <f t="shared" si="67"/>
        <v>73000</v>
      </c>
      <c r="B362" s="640">
        <f t="shared" si="71"/>
        <v>21900</v>
      </c>
      <c r="C362" s="573">
        <f t="shared" si="70"/>
        <v>1.135844586284524</v>
      </c>
      <c r="D362" s="278">
        <f>C362*Conversions!$B$53</f>
        <v>28.85045233978242</v>
      </c>
      <c r="E362" s="279">
        <f>C362*Conversions!$B$59</f>
        <v>0.5578766415597927</v>
      </c>
      <c r="F362" s="280">
        <f>H362*Conversions!$D$67</f>
        <v>0.03922522684565419</v>
      </c>
      <c r="G362" s="281">
        <f t="shared" si="68"/>
        <v>0.38464106359584915</v>
      </c>
      <c r="H362" s="282">
        <f>C362*Conversions!$B$50</f>
        <v>38.46410635958492</v>
      </c>
      <c r="K362">
        <f t="shared" si="69"/>
        <v>2</v>
      </c>
    </row>
    <row r="363" spans="1:11" ht="15">
      <c r="A363" s="639">
        <f t="shared" si="67"/>
        <v>73333.33333333334</v>
      </c>
      <c r="B363" s="640">
        <f t="shared" si="71"/>
        <v>22000</v>
      </c>
      <c r="C363" s="573">
        <f t="shared" si="70"/>
        <v>1.1179802881281202</v>
      </c>
      <c r="D363" s="278">
        <f>C363*Conversions!$B$53</f>
        <v>28.396699168997944</v>
      </c>
      <c r="E363" s="279">
        <f>C363*Conversions!$B$59</f>
        <v>0.5491024881415707</v>
      </c>
      <c r="F363" s="280">
        <f>H363*Conversions!$D$67</f>
        <v>0.038608301646481026</v>
      </c>
      <c r="G363" s="281">
        <f t="shared" si="68"/>
        <v>0.3785915188550943</v>
      </c>
      <c r="H363" s="282">
        <f>C363*Conversions!$B$50</f>
        <v>37.85915188550943</v>
      </c>
      <c r="K363">
        <f t="shared" si="69"/>
        <v>2</v>
      </c>
    </row>
    <row r="364" spans="1:11" ht="15">
      <c r="A364" s="639">
        <f t="shared" si="67"/>
        <v>73666.66666666667</v>
      </c>
      <c r="B364" s="640">
        <f t="shared" si="71"/>
        <v>22100</v>
      </c>
      <c r="C364" s="573">
        <f t="shared" si="70"/>
        <v>1.100405046450869</v>
      </c>
      <c r="D364" s="278">
        <f>C364*Conversions!$B$53</f>
        <v>27.950288032745295</v>
      </c>
      <c r="E364" s="279">
        <f>C364*Conversions!$B$59</f>
        <v>0.5404703064858222</v>
      </c>
      <c r="F364" s="280">
        <f>H364*Conversions!$D$67</f>
        <v>0.03800135871609964</v>
      </c>
      <c r="G364" s="281">
        <f t="shared" si="68"/>
        <v>0.3726398598576207</v>
      </c>
      <c r="H364" s="282">
        <f>C364*Conversions!$B$50</f>
        <v>37.26398598576207</v>
      </c>
      <c r="K364">
        <f t="shared" si="69"/>
        <v>2</v>
      </c>
    </row>
    <row r="365" spans="1:11" ht="15">
      <c r="A365" s="639">
        <f t="shared" si="67"/>
        <v>74000</v>
      </c>
      <c r="B365" s="640">
        <f t="shared" si="71"/>
        <v>22200</v>
      </c>
      <c r="C365" s="573">
        <f t="shared" si="70"/>
        <v>1.0831140533257222</v>
      </c>
      <c r="D365" s="278">
        <f>C365*Conversions!$B$53</f>
        <v>27.5110968096781</v>
      </c>
      <c r="E365" s="279">
        <f>C365*Conversions!$B$59</f>
        <v>0.5319777351513544</v>
      </c>
      <c r="F365" s="280">
        <f>H365*Conversions!$D$67</f>
        <v>0.03740423201768472</v>
      </c>
      <c r="G365" s="281">
        <f t="shared" si="68"/>
        <v>0.3667844584527149</v>
      </c>
      <c r="H365" s="282">
        <f>C365*Conversions!$B$50</f>
        <v>36.67844584527149</v>
      </c>
      <c r="K365">
        <f t="shared" si="69"/>
        <v>2</v>
      </c>
    </row>
    <row r="366" spans="1:11" ht="15">
      <c r="A366" s="639">
        <f t="shared" si="67"/>
        <v>74333.33333333334</v>
      </c>
      <c r="B366" s="640">
        <f t="shared" si="71"/>
        <v>22300</v>
      </c>
      <c r="C366" s="573">
        <f t="shared" si="70"/>
        <v>1.0661025829702837</v>
      </c>
      <c r="D366" s="278">
        <f>C366*Conversions!$B$53</f>
        <v>27.079005464924126</v>
      </c>
      <c r="E366" s="279">
        <f>C366*Conversions!$B$59</f>
        <v>0.523622453042796</v>
      </c>
      <c r="F366" s="280">
        <f>H366*Conversions!$D$67</f>
        <v>0.03681675835119225</v>
      </c>
      <c r="G366" s="281">
        <f t="shared" si="68"/>
        <v>0.36102371430703123</v>
      </c>
      <c r="H366" s="282">
        <f>C366*Conversions!$B$50</f>
        <v>36.10237143070312</v>
      </c>
      <c r="K366">
        <f t="shared" si="69"/>
        <v>2</v>
      </c>
    </row>
    <row r="367" spans="1:11" ht="15">
      <c r="A367" s="639">
        <f t="shared" si="67"/>
        <v>74666.66666666667</v>
      </c>
      <c r="B367" s="640">
        <f t="shared" si="71"/>
        <v>22400</v>
      </c>
      <c r="C367" s="573">
        <f t="shared" si="70"/>
        <v>1.0493659903062598</v>
      </c>
      <c r="D367" s="278">
        <f>C367*Conversions!$B$53</f>
        <v>26.653896013495338</v>
      </c>
      <c r="E367" s="279">
        <f>C367*Conversions!$B$59</f>
        <v>0.5154021787030624</v>
      </c>
      <c r="F367" s="280">
        <f>H367*Conversions!$D$67</f>
        <v>0.0362387773036115</v>
      </c>
      <c r="G367" s="281">
        <f t="shared" si="68"/>
        <v>0.35535605441676515</v>
      </c>
      <c r="H367" s="282">
        <f>C367*Conversions!$B$50</f>
        <v>35.535605441676516</v>
      </c>
      <c r="K367">
        <f t="shared" si="69"/>
        <v>2</v>
      </c>
    </row>
    <row r="368" spans="1:11" ht="15">
      <c r="A368" s="639">
        <f t="shared" si="67"/>
        <v>75000</v>
      </c>
      <c r="B368" s="640">
        <f t="shared" si="71"/>
        <v>22500</v>
      </c>
      <c r="C368" s="573">
        <f t="shared" si="70"/>
        <v>1.0328997095447916</v>
      </c>
      <c r="D368" s="278">
        <f>C368*Conversions!$B$53</f>
        <v>26.235652484355327</v>
      </c>
      <c r="E368" s="279">
        <f>C368*Conversions!$B$59</f>
        <v>0.507314669618534</v>
      </c>
      <c r="F368" s="280">
        <f>H368*Conversions!$D$67</f>
        <v>0.035670131200111005</v>
      </c>
      <c r="G368" s="281">
        <f t="shared" si="68"/>
        <v>0.3497799326285926</v>
      </c>
      <c r="H368" s="282">
        <f>C368*Conversions!$B$50</f>
        <v>34.97799326285926</v>
      </c>
      <c r="K368">
        <f t="shared" si="69"/>
        <v>2</v>
      </c>
    </row>
    <row r="369" spans="1:11" ht="15">
      <c r="A369" s="639">
        <f t="shared" si="67"/>
        <v>75333.33333333334</v>
      </c>
      <c r="B369" s="640">
        <f t="shared" si="71"/>
        <v>22600</v>
      </c>
      <c r="C369" s="573">
        <f t="shared" si="70"/>
        <v>1.0166992527972425</v>
      </c>
      <c r="D369" s="278">
        <f>C369*Conversions!$B$53</f>
        <v>25.824160885133324</v>
      </c>
      <c r="E369" s="279">
        <f>C369*Conversions!$B$59</f>
        <v>0.4993577215367359</v>
      </c>
      <c r="F369" s="280">
        <f>H369*Conversions!$D$67</f>
        <v>0.035110665056063514</v>
      </c>
      <c r="G369" s="281">
        <f t="shared" si="68"/>
        <v>0.3442938291692282</v>
      </c>
      <c r="H369" s="282">
        <f>C369*Conversions!$B$50</f>
        <v>34.42938291692282</v>
      </c>
      <c r="K369">
        <f t="shared" si="69"/>
        <v>2</v>
      </c>
    </row>
    <row r="370" spans="1:11" ht="15">
      <c r="A370" s="639">
        <f t="shared" si="67"/>
        <v>75666.66666666667</v>
      </c>
      <c r="B370" s="640">
        <f t="shared" si="71"/>
        <v>22700</v>
      </c>
      <c r="C370" s="573">
        <f t="shared" si="70"/>
        <v>1.000760208710972</v>
      </c>
      <c r="D370" s="278">
        <f>C370*Conversions!$B$53</f>
        <v>25.41930916747285</v>
      </c>
      <c r="E370" s="279">
        <f>C370*Conversions!$B$59</f>
        <v>0.4915291677962908</v>
      </c>
      <c r="F370" s="280">
        <f>H370*Conversions!$D$67</f>
        <v>0.03456022652993382</v>
      </c>
      <c r="G370" s="281">
        <f t="shared" si="68"/>
        <v>0.3388962501834456</v>
      </c>
      <c r="H370" s="282">
        <f>C370*Conversions!$B$50</f>
        <v>33.88962501834456</v>
      </c>
      <c r="K370">
        <f t="shared" si="69"/>
        <v>2</v>
      </c>
    </row>
    <row r="371" spans="1:11" ht="15">
      <c r="A371" s="639">
        <f t="shared" si="67"/>
        <v>76000</v>
      </c>
      <c r="B371" s="640">
        <f t="shared" si="71"/>
        <v>22800</v>
      </c>
      <c r="C371" s="573">
        <f t="shared" si="70"/>
        <v>0.9850782411295537</v>
      </c>
      <c r="D371" s="278">
        <f>C371*Conversions!$B$53</f>
        <v>25.020987193001258</v>
      </c>
      <c r="E371" s="279">
        <f>C371*Conversions!$B$59</f>
        <v>0.4838268786688769</v>
      </c>
      <c r="F371" s="280">
        <f>H371*Conversions!$D$67</f>
        <v>0.034018665877010794</v>
      </c>
      <c r="G371" s="281">
        <f t="shared" si="68"/>
        <v>0.3335857272803753</v>
      </c>
      <c r="H371" s="282">
        <f>C371*Conversions!$B$50</f>
        <v>33.35857272803753</v>
      </c>
      <c r="K371">
        <f t="shared" si="69"/>
        <v>2</v>
      </c>
    </row>
    <row r="372" spans="1:11" ht="15">
      <c r="A372" s="639">
        <f t="shared" si="67"/>
        <v>76333.33333333334</v>
      </c>
      <c r="B372" s="640">
        <f t="shared" si="71"/>
        <v>22900</v>
      </c>
      <c r="C372" s="573">
        <f t="shared" si="70"/>
        <v>0.9696490877771067</v>
      </c>
      <c r="D372" s="278">
        <f>C372*Conversions!$B$53</f>
        <v>24.62908669991174</v>
      </c>
      <c r="E372" s="279">
        <f>C372*Conversions!$B$59</f>
        <v>0.47624876071303013</v>
      </c>
      <c r="F372" s="280">
        <f>H372*Conversions!$D$67</f>
        <v>0.03348583590397211</v>
      </c>
      <c r="G372" s="281">
        <f t="shared" si="68"/>
        <v>0.32836081708796805</v>
      </c>
      <c r="H372" s="282">
        <f>C372*Conversions!$B$50</f>
        <v>32.836081708796804</v>
      </c>
      <c r="K372">
        <f t="shared" si="69"/>
        <v>2</v>
      </c>
    </row>
    <row r="373" spans="1:11" ht="15">
      <c r="A373" s="639">
        <f t="shared" si="67"/>
        <v>76666.66666666667</v>
      </c>
      <c r="B373" s="640">
        <f t="shared" si="71"/>
        <v>23000</v>
      </c>
      <c r="C373" s="573">
        <f t="shared" si="70"/>
        <v>0.9544685589662487</v>
      </c>
      <c r="D373" s="278">
        <f>C373*Conversions!$B$53</f>
        <v>24.243501270145345</v>
      </c>
      <c r="E373" s="279">
        <f>C373*Conversions!$B$59</f>
        <v>0.4687927561395473</v>
      </c>
      <c r="F373" s="280">
        <f>H373*Conversions!$D$67</f>
        <v>0.03296159192426472</v>
      </c>
      <c r="G373" s="281">
        <f t="shared" si="68"/>
        <v>0.3232201008154575</v>
      </c>
      <c r="H373" s="282">
        <f>C373*Conversions!$B$50</f>
        <v>32.32201008154575</v>
      </c>
      <c r="K373">
        <f t="shared" si="69"/>
        <v>2</v>
      </c>
    </row>
    <row r="374" spans="1:11" ht="15">
      <c r="A374" s="639">
        <f t="shared" si="67"/>
        <v>77000</v>
      </c>
      <c r="B374" s="640">
        <f t="shared" si="71"/>
        <v>23100</v>
      </c>
      <c r="C374" s="573">
        <f t="shared" si="70"/>
        <v>0.9395325363291473</v>
      </c>
      <c r="D374" s="278">
        <f>C374*Conversions!$B$53</f>
        <v>23.86412629715968</v>
      </c>
      <c r="E374" s="279">
        <f>C374*Conversions!$B$59</f>
        <v>0.461456842188235</v>
      </c>
      <c r="F374" s="280">
        <f>H374*Conversions!$D$67</f>
        <v>0.03244579171428303</v>
      </c>
      <c r="G374" s="281">
        <f t="shared" si="68"/>
        <v>0.3181621838236453</v>
      </c>
      <c r="H374" s="282">
        <f>C374*Conversions!$B$50</f>
        <v>31.816218382364532</v>
      </c>
      <c r="K374">
        <f t="shared" si="69"/>
        <v>2</v>
      </c>
    </row>
    <row r="375" spans="1:11" ht="15">
      <c r="A375" s="639">
        <f t="shared" si="67"/>
        <v>77333.33333333334</v>
      </c>
      <c r="B375" s="640">
        <f t="shared" si="71"/>
        <v>23200</v>
      </c>
      <c r="C375" s="573">
        <f t="shared" si="70"/>
        <v>0.9248369715714048</v>
      </c>
      <c r="D375" s="278">
        <f>C375*Conversions!$B$53</f>
        <v>23.490858954277584</v>
      </c>
      <c r="E375" s="279">
        <f>C375*Conversions!$B$59</f>
        <v>0.4542390305158728</v>
      </c>
      <c r="F375" s="280">
        <f>H375*Conversions!$D$67</f>
        <v>0.03193829547033557</v>
      </c>
      <c r="G375" s="281">
        <f t="shared" si="68"/>
        <v>0.31318569520291795</v>
      </c>
      <c r="H375" s="282">
        <f>C375*Conversions!$B$50</f>
        <v>31.318569520291792</v>
      </c>
      <c r="K375">
        <f t="shared" si="69"/>
        <v>2</v>
      </c>
    </row>
    <row r="376" spans="1:11" ht="15">
      <c r="A376" s="639">
        <f t="shared" si="67"/>
        <v>77666.66666666667</v>
      </c>
      <c r="B376" s="640">
        <f t="shared" si="71"/>
        <v>23300</v>
      </c>
      <c r="C376" s="573">
        <f t="shared" si="70"/>
        <v>0.9103778852482588</v>
      </c>
      <c r="D376" s="278">
        <f>C376*Conversions!$B$53</f>
        <v>23.123598163602626</v>
      </c>
      <c r="E376" s="279">
        <f>C376*Conversions!$B$59</f>
        <v>0.4471373665951371</v>
      </c>
      <c r="F376" s="280">
        <f>H376*Conversions!$D$67</f>
        <v>0.03143896576638237</v>
      </c>
      <c r="G376" s="281">
        <f t="shared" si="68"/>
        <v>0.30828928735882055</v>
      </c>
      <c r="H376" s="282">
        <f>C376*Conversions!$B$50</f>
        <v>30.828928735882055</v>
      </c>
      <c r="K376">
        <f t="shared" si="69"/>
        <v>2</v>
      </c>
    </row>
    <row r="377" spans="1:11" ht="15">
      <c r="A377" s="639">
        <f t="shared" si="67"/>
        <v>78000</v>
      </c>
      <c r="B377" s="640">
        <f t="shared" si="71"/>
        <v>23400</v>
      </c>
      <c r="C377" s="573">
        <f t="shared" si="70"/>
        <v>0.8961513655626657</v>
      </c>
      <c r="D377" s="278">
        <f>C377*Conversions!$B$53</f>
        <v>22.762244565490423</v>
      </c>
      <c r="E377" s="279">
        <f>C377*Conversions!$B$59</f>
        <v>0.4401499291242727</v>
      </c>
      <c r="F377" s="280">
        <f>H377*Conversions!$D$67</f>
        <v>0.030947667512527973</v>
      </c>
      <c r="G377" s="281">
        <f t="shared" si="68"/>
        <v>0.30347163560504176</v>
      </c>
      <c r="H377" s="282">
        <f>C377*Conversions!$B$50</f>
        <v>30.347163560504175</v>
      </c>
      <c r="K377">
        <f t="shared" si="69"/>
        <v>2</v>
      </c>
    </row>
    <row r="378" spans="1:11" ht="15">
      <c r="A378" s="639">
        <f t="shared" si="67"/>
        <v>78333.33333333334</v>
      </c>
      <c r="B378" s="640">
        <f t="shared" si="71"/>
        <v>23500</v>
      </c>
      <c r="C378" s="573">
        <f t="shared" si="70"/>
        <v>0.8821535671849517</v>
      </c>
      <c r="D378" s="278">
        <f>C378*Conversions!$B$53</f>
        <v>22.406700488567772</v>
      </c>
      <c r="E378" s="279">
        <f>C378*Conversions!$B$59</f>
        <v>0.43327482944735785</v>
      </c>
      <c r="F378" s="280">
        <f>H378*Conversions!$D$67</f>
        <v>0.030464267914259324</v>
      </c>
      <c r="G378" s="281">
        <f t="shared" si="68"/>
        <v>0.29873143776370126</v>
      </c>
      <c r="H378" s="282">
        <f>C378*Conversions!$B$50</f>
        <v>29.873143776370128</v>
      </c>
      <c r="K378">
        <f t="shared" si="69"/>
        <v>2</v>
      </c>
    </row>
    <row r="379" spans="1:11" ht="15">
      <c r="A379" s="639">
        <f t="shared" si="67"/>
        <v>78666.66666666667</v>
      </c>
      <c r="B379" s="640">
        <f t="shared" si="71"/>
        <v>23600</v>
      </c>
      <c r="C379" s="573">
        <f t="shared" si="70"/>
        <v>0.8683807100935778</v>
      </c>
      <c r="D379" s="278">
        <f>C379*Conversions!$B$53</f>
        <v>22.056869920288086</v>
      </c>
      <c r="E379" s="279">
        <f>C379*Conversions!$B$59</f>
        <v>0.4265102109849391</v>
      </c>
      <c r="F379" s="280">
        <f>H379*Conversions!$D$67</f>
        <v>0.029988636432412744</v>
      </c>
      <c r="G379" s="281">
        <f t="shared" si="68"/>
        <v>0.2940674137727882</v>
      </c>
      <c r="H379" s="282">
        <f>C379*Conversions!$B$50</f>
        <v>29.40674137727882</v>
      </c>
      <c r="K379">
        <f t="shared" si="69"/>
        <v>2</v>
      </c>
    </row>
    <row r="380" spans="1:11" ht="15">
      <c r="A380" s="639">
        <f t="shared" si="67"/>
        <v>79000</v>
      </c>
      <c r="B380" s="640">
        <f t="shared" si="71"/>
        <v>23700</v>
      </c>
      <c r="C380" s="573">
        <f t="shared" si="70"/>
        <v>0.8548290784366207</v>
      </c>
      <c r="D380" s="278">
        <f>C380*Conversions!$B$53</f>
        <v>21.71265847801302</v>
      </c>
      <c r="E380" s="279">
        <f>C380*Conversions!$B$59</f>
        <v>0.41985424867484117</v>
      </c>
      <c r="F380" s="280">
        <f>H380*Conversions!$D$67</f>
        <v>0.02952064474385639</v>
      </c>
      <c r="G380" s="281">
        <f t="shared" si="68"/>
        <v>0.28947830530061436</v>
      </c>
      <c r="H380" s="282">
        <f>C380*Conversions!$B$50</f>
        <v>28.947830530061434</v>
      </c>
      <c r="K380">
        <f t="shared" si="69"/>
        <v>2</v>
      </c>
    </row>
    <row r="381" spans="1:11" ht="15">
      <c r="A381" s="639">
        <f t="shared" si="67"/>
        <v>79333.33333333334</v>
      </c>
      <c r="B381" s="640">
        <f t="shared" si="71"/>
        <v>23800</v>
      </c>
      <c r="C381" s="573">
        <f t="shared" si="70"/>
        <v>0.8414950194136334</v>
      </c>
      <c r="D381" s="278">
        <f>C381*Conversions!$B$53</f>
        <v>21.37397338061169</v>
      </c>
      <c r="E381" s="279">
        <f>C381*Conversions!$B$59</f>
        <v>0.41330514842298605</v>
      </c>
      <c r="F381" s="280">
        <f>H381*Conversions!$D$67</f>
        <v>0.0290601667028764</v>
      </c>
      <c r="G381" s="281">
        <f t="shared" si="68"/>
        <v>0.2849628753671684</v>
      </c>
      <c r="H381" s="282">
        <f>C381*Conversions!$B$50</f>
        <v>28.49628753671684</v>
      </c>
      <c r="K381">
        <f t="shared" si="69"/>
        <v>2</v>
      </c>
    </row>
    <row r="382" spans="1:11" ht="15">
      <c r="A382" s="639">
        <f t="shared" si="67"/>
        <v>79666.66666666667</v>
      </c>
      <c r="B382" s="640">
        <f t="shared" si="71"/>
        <v>23900</v>
      </c>
      <c r="C382" s="573">
        <f t="shared" si="70"/>
        <v>0.8283749421775012</v>
      </c>
      <c r="D382" s="278">
        <f>C382*Conversions!$B$53</f>
        <v>21.040723420567883</v>
      </c>
      <c r="E382" s="279">
        <f>C382*Conversions!$B$59</f>
        <v>0.40686114656403366</v>
      </c>
      <c r="F382" s="280">
        <f>H382*Conversions!$D$67</f>
        <v>0.028607078303253677</v>
      </c>
      <c r="G382" s="281">
        <f t="shared" si="68"/>
        <v>0.2805199079722422</v>
      </c>
      <c r="H382" s="282">
        <f>C382*Conversions!$B$50</f>
        <v>28.051990797224217</v>
      </c>
      <c r="K382">
        <f t="shared" si="69"/>
        <v>2</v>
      </c>
    </row>
    <row r="383" spans="1:11" ht="15">
      <c r="A383" s="639">
        <f t="shared" si="67"/>
        <v>80000</v>
      </c>
      <c r="B383" s="640">
        <f t="shared" si="71"/>
        <v>24000</v>
      </c>
      <c r="C383" s="573">
        <f t="shared" si="70"/>
        <v>0.8154653167558845</v>
      </c>
      <c r="D383" s="278">
        <f>C383*Conversions!$B$53</f>
        <v>20.712818936584632</v>
      </c>
      <c r="E383" s="279">
        <f>C383*Conversions!$B$59</f>
        <v>0.40052050933164174</v>
      </c>
      <c r="F383" s="280">
        <f>H383*Conversions!$D$67</f>
        <v>0.02816125764101698</v>
      </c>
      <c r="G383" s="281">
        <f t="shared" si="68"/>
        <v>0.2761482077301892</v>
      </c>
      <c r="H383" s="282">
        <f>C383*Conversions!$B$50</f>
        <v>27.61482077301892</v>
      </c>
      <c r="K383">
        <f t="shared" si="69"/>
        <v>2</v>
      </c>
    </row>
    <row r="384" spans="1:11" ht="15">
      <c r="A384" s="639">
        <f t="shared" si="67"/>
        <v>80333.33333333334</v>
      </c>
      <c r="B384" s="640">
        <f t="shared" si="71"/>
        <v>24100</v>
      </c>
      <c r="C384" s="573">
        <f t="shared" si="70"/>
        <v>0.8027626729919344</v>
      </c>
      <c r="D384" s="278">
        <f>C384*Conversions!$B$53</f>
        <v>20.39017178667844</v>
      </c>
      <c r="E384" s="279">
        <f>C384*Conversions!$B$59</f>
        <v>0.3942815323381926</v>
      </c>
      <c r="F384" s="280">
        <f>H384*Conversions!$D$67</f>
        <v>0.027722584877861625</v>
      </c>
      <c r="G384" s="281">
        <f t="shared" si="68"/>
        <v>0.2718465995112096</v>
      </c>
      <c r="H384" s="282">
        <f>C384*Conversions!$B$50</f>
        <v>27.18465995112096</v>
      </c>
      <c r="K384">
        <f t="shared" si="69"/>
        <v>2</v>
      </c>
    </row>
    <row r="385" spans="1:11" ht="15">
      <c r="A385" s="639">
        <f t="shared" si="67"/>
        <v>80666.66666666667</v>
      </c>
      <c r="B385" s="640">
        <f t="shared" si="71"/>
        <v>24200</v>
      </c>
      <c r="C385" s="573">
        <f t="shared" si="70"/>
        <v>0.7902635995039393</v>
      </c>
      <c r="D385" s="278">
        <f>C385*Conversions!$B$53</f>
        <v>20.072695321754296</v>
      </c>
      <c r="E385" s="279">
        <f>C385*Conversions!$B$59</f>
        <v>0.3881425400638172</v>
      </c>
      <c r="F385" s="280">
        <f>H385*Conversions!$D$67</f>
        <v>0.027290942205221994</v>
      </c>
      <c r="G385" s="281">
        <f t="shared" si="68"/>
        <v>0.26761392808904655</v>
      </c>
      <c r="H385" s="282">
        <f>C385*Conversions!$B$50</f>
        <v>26.761392808904656</v>
      </c>
      <c r="K385">
        <f t="shared" si="69"/>
        <v>2</v>
      </c>
    </row>
    <row r="386" spans="1:11" ht="15">
      <c r="A386" s="639">
        <f t="shared" si="67"/>
        <v>81000</v>
      </c>
      <c r="B386" s="640">
        <f t="shared" si="71"/>
        <v>24300</v>
      </c>
      <c r="C386" s="573">
        <f t="shared" si="70"/>
        <v>0.7779647426634921</v>
      </c>
      <c r="D386" s="278">
        <f>C386*Conversions!$B$53</f>
        <v>19.760304359651098</v>
      </c>
      <c r="E386" s="279">
        <f>C386*Conversions!$B$59</f>
        <v>0.3821018853545165</v>
      </c>
      <c r="F386" s="280">
        <f>H386*Conversions!$D$67</f>
        <v>0.026866213808983533</v>
      </c>
      <c r="G386" s="281">
        <f t="shared" si="68"/>
        <v>0.26344905779495364</v>
      </c>
      <c r="H386" s="282">
        <f>C386*Conversions!$B$50</f>
        <v>26.344905779495363</v>
      </c>
      <c r="K386">
        <f t="shared" si="69"/>
        <v>2</v>
      </c>
    </row>
    <row r="387" spans="1:11" ht="15">
      <c r="A387" s="639">
        <f t="shared" si="67"/>
        <v>81333.33333333334</v>
      </c>
      <c r="B387" s="640">
        <f t="shared" si="71"/>
        <v>24400</v>
      </c>
      <c r="C387" s="573">
        <f t="shared" si="70"/>
        <v>0.7658628055919008</v>
      </c>
      <c r="D387" s="278">
        <f>C387*Conversions!$B$53</f>
        <v>19.452915159650516</v>
      </c>
      <c r="E387" s="279">
        <f>C387*Conversions!$B$59</f>
        <v>0.3761579489292421</v>
      </c>
      <c r="F387" s="280">
        <f>H387*Conversions!$D$67</f>
        <v>0.026448285834824847</v>
      </c>
      <c r="G387" s="281">
        <f t="shared" si="68"/>
        <v>0.25935087217784064</v>
      </c>
      <c r="H387" s="282">
        <f>C387*Conversions!$B$50</f>
        <v>25.935087217784062</v>
      </c>
      <c r="K387">
        <f t="shared" si="69"/>
        <v>2</v>
      </c>
    </row>
    <row r="388" spans="1:11" ht="15">
      <c r="A388" s="639">
        <f t="shared" si="67"/>
        <v>81666.66666666667</v>
      </c>
      <c r="B388" s="640">
        <f t="shared" si="71"/>
        <v>24500</v>
      </c>
      <c r="C388" s="573">
        <f t="shared" si="70"/>
        <v>0.7539545471745043</v>
      </c>
      <c r="D388" s="278">
        <f>C388*Conversions!$B$53</f>
        <v>19.150445397440592</v>
      </c>
      <c r="E388" s="279">
        <f>C388*Conversions!$B$59</f>
        <v>0.37030913889577227</v>
      </c>
      <c r="F388" s="280">
        <f>H388*Conversions!$D$67</f>
        <v>0.026037046354178115</v>
      </c>
      <c r="G388" s="281">
        <f t="shared" si="68"/>
        <v>0.2553182736704826</v>
      </c>
      <c r="H388" s="282">
        <f>C388*Conversions!$B$50</f>
        <v>25.531827367048262</v>
      </c>
      <c r="K388">
        <f t="shared" si="69"/>
        <v>2</v>
      </c>
    </row>
    <row r="389" spans="1:11" ht="15">
      <c r="A389" s="639">
        <f t="shared" si="67"/>
        <v>82000</v>
      </c>
      <c r="B389" s="640">
        <f t="shared" si="71"/>
        <v>24600</v>
      </c>
      <c r="C389" s="573">
        <f t="shared" si="70"/>
        <v>0.7422367810925029</v>
      </c>
      <c r="D389" s="278">
        <f>C389*Conversions!$B$53</f>
        <v>18.852814140524238</v>
      </c>
      <c r="E389" s="279">
        <f>C389*Conversions!$B$59</f>
        <v>0.3645538902751897</v>
      </c>
      <c r="F389" s="280">
        <f>H389*Conversions!$D$67</f>
        <v>0.02563238533079434</v>
      </c>
      <c r="G389" s="281">
        <f t="shared" si="68"/>
        <v>0.2513501832616603</v>
      </c>
      <c r="H389" s="282">
        <f>C389*Conversions!$B$50</f>
        <v>25.13501832616603</v>
      </c>
      <c r="K389">
        <f t="shared" si="69"/>
        <v>2</v>
      </c>
    </row>
    <row r="390" spans="1:11" ht="15">
      <c r="A390" s="639">
        <f t="shared" si="67"/>
        <v>82333.33333333334</v>
      </c>
      <c r="B390" s="640">
        <f t="shared" si="71"/>
        <v>24700</v>
      </c>
      <c r="C390" s="573">
        <f t="shared" si="70"/>
        <v>0.7307063748720681</v>
      </c>
      <c r="D390" s="278">
        <f>C390*Conversions!$B$53</f>
        <v>18.559941824066627</v>
      </c>
      <c r="E390" s="279">
        <f>C390*Conversions!$B$59</f>
        <v>0.35889066453484625</v>
      </c>
      <c r="F390" s="280">
        <f>H390*Conversions!$D$67</f>
        <v>0.025234194587905327</v>
      </c>
      <c r="G390" s="281">
        <f t="shared" si="68"/>
        <v>0.24744554017415143</v>
      </c>
      <c r="H390" s="282">
        <f>C390*Conversions!$B$50</f>
        <v>24.744554017415144</v>
      </c>
      <c r="K390">
        <f t="shared" si="69"/>
        <v>2</v>
      </c>
    </row>
    <row r="391" spans="1:11" ht="15">
      <c r="A391" s="639">
        <f t="shared" si="67"/>
        <v>82666.66666666667</v>
      </c>
      <c r="B391" s="640">
        <f t="shared" si="71"/>
        <v>24800</v>
      </c>
      <c r="C391" s="573">
        <f t="shared" si="70"/>
        <v>0.7193602489503829</v>
      </c>
      <c r="D391" s="278">
        <f>C391*Conversions!$B$53</f>
        <v>18.27175022717262</v>
      </c>
      <c r="E391" s="279">
        <f>C391*Conversions!$B$59</f>
        <v>0.35331794912964315</v>
      </c>
      <c r="F391" s="280">
        <f>H391*Conversions!$D$67</f>
        <v>0.024842367775970358</v>
      </c>
      <c r="G391" s="281">
        <f t="shared" si="68"/>
        <v>0.24360330154845602</v>
      </c>
      <c r="H391" s="282">
        <f>C391*Conversions!$B$50</f>
        <v>24.360330154845602</v>
      </c>
      <c r="K391">
        <f t="shared" si="69"/>
        <v>2</v>
      </c>
    </row>
    <row r="392" spans="1:11" ht="15">
      <c r="A392" s="639">
        <f t="shared" si="67"/>
        <v>83000</v>
      </c>
      <c r="B392" s="640">
        <f t="shared" si="71"/>
        <v>24900</v>
      </c>
      <c r="C392" s="573">
        <f t="shared" si="70"/>
        <v>0.7081953757582655</v>
      </c>
      <c r="D392" s="278">
        <f>C392*Conversions!$B$53</f>
        <v>17.988162449585406</v>
      </c>
      <c r="E392" s="279">
        <f>C392*Conversions!$B$59</f>
        <v>0.3478342570514567</v>
      </c>
      <c r="F392" s="280">
        <f>H392*Conversions!$D$67</f>
        <v>0.02445680034099553</v>
      </c>
      <c r="G392" s="281">
        <f t="shared" si="68"/>
        <v>0.239822442132137</v>
      </c>
      <c r="H392" s="282">
        <f>C392*Conversions!$B$50</f>
        <v>23.9822442132137</v>
      </c>
      <c r="K392">
        <f t="shared" si="69"/>
        <v>2</v>
      </c>
    </row>
    <row r="393" spans="1:11" ht="15">
      <c r="A393" s="639">
        <f t="shared" si="67"/>
        <v>83333.33333333334</v>
      </c>
      <c r="B393" s="640">
        <f t="shared" si="71"/>
        <v>25000</v>
      </c>
      <c r="C393" s="573">
        <f t="shared" si="70"/>
        <v>0.6972087788191221</v>
      </c>
      <c r="D393" s="278">
        <f>C393*Conversions!$B$53</f>
        <v>17.709102888799897</v>
      </c>
      <c r="E393" s="279">
        <f>C393*Conversions!$B$59</f>
        <v>0.3424381263865833</v>
      </c>
      <c r="F393" s="280">
        <f>H393*Conversions!$D$67</f>
        <v>0.024077389493417024</v>
      </c>
      <c r="G393" s="281">
        <f t="shared" si="68"/>
        <v>0.23610195397469075</v>
      </c>
      <c r="H393" s="282">
        <f>C393*Conversions!$B$50</f>
        <v>23.610195397469074</v>
      </c>
      <c r="K393">
        <f t="shared" si="69"/>
        <v>2</v>
      </c>
    </row>
    <row r="394" spans="1:11" ht="15">
      <c r="A394" s="639">
        <f t="shared" si="67"/>
        <v>83666.66666666667</v>
      </c>
      <c r="B394" s="640">
        <f t="shared" si="71"/>
        <v>25100</v>
      </c>
      <c r="C394" s="573">
        <f t="shared" si="70"/>
        <v>0.6863975318639537</v>
      </c>
      <c r="D394" s="278">
        <f>C394*Conversions!$B$53</f>
        <v>17.434497217583914</v>
      </c>
      <c r="E394" s="279">
        <f>C394*Conversions!$B$59</f>
        <v>0.33712811988106994</v>
      </c>
      <c r="F394" s="280">
        <f>H394*Conversions!$D$67</f>
        <v>0.023704034177538764</v>
      </c>
      <c r="G394" s="281">
        <f t="shared" si="68"/>
        <v>0.23244084612785393</v>
      </c>
      <c r="H394" s="282">
        <f>C394*Conversions!$B$50</f>
        <v>23.244084612785393</v>
      </c>
      <c r="K394">
        <f t="shared" si="69"/>
        <v>2</v>
      </c>
    </row>
    <row r="395" spans="1:11" ht="15">
      <c r="A395" s="639">
        <f t="shared" si="67"/>
        <v>84000</v>
      </c>
      <c r="B395" s="640">
        <f t="shared" si="71"/>
        <v>25200</v>
      </c>
      <c r="C395" s="573">
        <f t="shared" si="70"/>
        <v>0.6757587579620118</v>
      </c>
      <c r="D395" s="278">
        <f>C395*Conversions!$B$53</f>
        <v>17.164272361896824</v>
      </c>
      <c r="E395" s="279">
        <f>C395*Conversions!$B$59</f>
        <v>0.3319028245137312</v>
      </c>
      <c r="F395" s="280">
        <f>H395*Conversions!$D$67</f>
        <v>0.023336635041510515</v>
      </c>
      <c r="G395" s="281">
        <f t="shared" si="68"/>
        <v>0.22883814435120997</v>
      </c>
      <c r="H395" s="282">
        <f>C395*Conversions!$B$50</f>
        <v>22.883814435120996</v>
      </c>
      <c r="K395">
        <f t="shared" si="69"/>
        <v>2</v>
      </c>
    </row>
    <row r="396" spans="1:11" ht="15">
      <c r="A396" s="639">
        <f t="shared" si="67"/>
        <v>84333.33333333334</v>
      </c>
      <c r="B396" s="640">
        <f t="shared" si="71"/>
        <v>25300</v>
      </c>
      <c r="C396" s="573">
        <f t="shared" si="70"/>
        <v>0.6652896286669632</v>
      </c>
      <c r="D396" s="278">
        <f>C396*Conversions!$B$53</f>
        <v>16.898356479202146</v>
      </c>
      <c r="E396" s="279">
        <f>C396*Conversions!$B$59</f>
        <v>0.32676085107678254</v>
      </c>
      <c r="F396" s="280">
        <f>H396*Conversions!$D$67</f>
        <v>0.022975094407841554</v>
      </c>
      <c r="G396" s="281">
        <f t="shared" si="68"/>
        <v>0.22529289082304704</v>
      </c>
      <c r="H396" s="282">
        <f>C396*Conversions!$B$50</f>
        <v>22.529289082304704</v>
      </c>
      <c r="K396">
        <f t="shared" si="69"/>
        <v>2</v>
      </c>
    </row>
    <row r="397" spans="1:11" ht="15">
      <c r="A397" s="639">
        <f t="shared" si="67"/>
        <v>84666.66666666667</v>
      </c>
      <c r="B397" s="640">
        <f t="shared" si="71"/>
        <v>25400</v>
      </c>
      <c r="C397" s="573">
        <f t="shared" si="70"/>
        <v>0.6549873631781794</v>
      </c>
      <c r="D397" s="278">
        <f>C397*Conversions!$B$53</f>
        <v>16.63667893716429</v>
      </c>
      <c r="E397" s="279">
        <f>C397*Conversions!$B$59</f>
        <v>0.3217008337639031</v>
      </c>
      <c r="F397" s="280">
        <f>H397*Conversions!$D$67</f>
        <v>0.022619316244436666</v>
      </c>
      <c r="G397" s="281">
        <f t="shared" si="68"/>
        <v>0.2218041438563384</v>
      </c>
      <c r="H397" s="282">
        <f>C397*Conversions!$B$50</f>
        <v>22.18041438563384</v>
      </c>
      <c r="K397">
        <f t="shared" si="69"/>
        <v>2</v>
      </c>
    </row>
    <row r="398" spans="1:11" ht="15">
      <c r="A398" s="639">
        <f t="shared" si="67"/>
        <v>85000</v>
      </c>
      <c r="B398" s="640">
        <f t="shared" si="71"/>
        <v>25500</v>
      </c>
      <c r="C398" s="573">
        <f t="shared" si="70"/>
        <v>0.6448492275169108</v>
      </c>
      <c r="D398" s="278">
        <f>C398*Conversions!$B$53</f>
        <v>16.379170292723376</v>
      </c>
      <c r="E398" s="279">
        <f>C398*Conversions!$B$59</f>
        <v>0.3167214297656088</v>
      </c>
      <c r="F398" s="280">
        <f>H398*Conversions!$D$67</f>
        <v>0.022269206136146143</v>
      </c>
      <c r="G398" s="281">
        <f t="shared" si="68"/>
        <v>0.21837097761976262</v>
      </c>
      <c r="H398" s="282">
        <f>C398*Conversions!$B$50</f>
        <v>21.837097761976263</v>
      </c>
      <c r="K398">
        <f t="shared" si="69"/>
        <v>2</v>
      </c>
    </row>
    <row r="399" spans="1:11" ht="15">
      <c r="A399" s="639">
        <f t="shared" si="67"/>
        <v>85333.33333333334</v>
      </c>
      <c r="B399" s="640">
        <f t="shared" si="71"/>
        <v>25600</v>
      </c>
      <c r="C399" s="573">
        <f t="shared" si="70"/>
        <v>0.6348725337170712</v>
      </c>
      <c r="D399" s="278">
        <f>C399*Conversions!$B$53</f>
        <v>16.125762271541177</v>
      </c>
      <c r="E399" s="279">
        <f>C399*Conversions!$B$59</f>
        <v>0.3118213188718015</v>
      </c>
      <c r="F399" s="280">
        <f>H399*Conversions!$D$67</f>
        <v>0.021924671256820395</v>
      </c>
      <c r="G399" s="281">
        <f t="shared" si="68"/>
        <v>0.2149924818636723</v>
      </c>
      <c r="H399" s="282">
        <f>C399*Conversions!$B$50</f>
        <v>21.499248186367232</v>
      </c>
      <c r="K399">
        <f t="shared" si="69"/>
        <v>2</v>
      </c>
    </row>
    <row r="400" spans="1:11" ht="15">
      <c r="A400" s="639">
        <f t="shared" si="67"/>
        <v>85666.66666666667</v>
      </c>
      <c r="B400" s="640">
        <f t="shared" si="71"/>
        <v>25700</v>
      </c>
      <c r="C400" s="573">
        <f t="shared" si="70"/>
        <v>0.6250546390303761</v>
      </c>
      <c r="D400" s="278">
        <f>C400*Conversions!$B$53</f>
        <v>15.876387747811618</v>
      </c>
      <c r="E400" s="279">
        <f>C400*Conversions!$B$59</f>
        <v>0.3069992030813678</v>
      </c>
      <c r="F400" s="280">
        <f>H400*Conversions!$D$67</f>
        <v>0.021585620341860196</v>
      </c>
      <c r="G400" s="281">
        <f t="shared" si="68"/>
        <v>0.21166776165092266</v>
      </c>
      <c r="H400" s="282">
        <f>C400*Conversions!$B$50</f>
        <v>21.166776165092266</v>
      </c>
      <c r="K400">
        <f t="shared" si="69"/>
        <v>2</v>
      </c>
    </row>
    <row r="401" spans="1:11" ht="15">
      <c r="A401" s="639">
        <f aca="true" t="shared" si="72" ref="A401:A464">B401*(1/0.3)</f>
        <v>86000</v>
      </c>
      <c r="B401" s="640">
        <f t="shared" si="71"/>
        <v>25800</v>
      </c>
      <c r="C401" s="573">
        <f t="shared" si="70"/>
        <v>0.6153929451455642</v>
      </c>
      <c r="D401" s="278">
        <f>C401*Conversions!$B$53</f>
        <v>15.630980724429012</v>
      </c>
      <c r="E401" s="279">
        <f>C401*Conversions!$B$59</f>
        <v>0.3022538062186957</v>
      </c>
      <c r="F401" s="280">
        <f>H401*Conversions!$D$67</f>
        <v>0.02125196366125329</v>
      </c>
      <c r="G401" s="281">
        <f aca="true" t="shared" si="73" ref="G401:G464">H401/100</f>
        <v>0.2083959370924697</v>
      </c>
      <c r="H401" s="282">
        <f>C401*Conversions!$B$50</f>
        <v>20.83959370924697</v>
      </c>
      <c r="K401">
        <f aca="true" t="shared" si="74" ref="K401:K464">K400</f>
        <v>2</v>
      </c>
    </row>
    <row r="402" spans="1:11" ht="15">
      <c r="A402" s="639">
        <f t="shared" si="72"/>
        <v>86333.33333333334</v>
      </c>
      <c r="B402" s="640">
        <f t="shared" si="71"/>
        <v>25900</v>
      </c>
      <c r="C402" s="573">
        <f t="shared" si="70"/>
        <v>0.6058848974214249</v>
      </c>
      <c r="D402" s="278">
        <f>C402*Conversions!$B$53</f>
        <v>15.38947631350695</v>
      </c>
      <c r="E402" s="279">
        <f>C402*Conversions!$B$59</f>
        <v>0.2975838735569712</v>
      </c>
      <c r="F402" s="280">
        <f>H402*Conversions!$D$67</f>
        <v>0.02092361299308781</v>
      </c>
      <c r="G402" s="281">
        <f t="shared" si="73"/>
        <v>0.20517614308764365</v>
      </c>
      <c r="H402" s="282">
        <f>C402*Conversions!$B$50</f>
        <v>20.517614308764365</v>
      </c>
      <c r="K402">
        <f t="shared" si="74"/>
        <v>2</v>
      </c>
    </row>
    <row r="403" spans="1:11" ht="15">
      <c r="A403" s="639">
        <f t="shared" si="72"/>
        <v>86666.66666666667</v>
      </c>
      <c r="B403" s="640">
        <f t="shared" si="71"/>
        <v>26000</v>
      </c>
      <c r="C403" s="573">
        <f t="shared" si="70"/>
        <v>0.5965279841334544</v>
      </c>
      <c r="D403" s="278">
        <f>C403*Conversions!$B$53</f>
        <v>15.151810717243372</v>
      </c>
      <c r="E403" s="279">
        <f>C403*Conversions!$B$59</f>
        <v>0.2929881714481692</v>
      </c>
      <c r="F403" s="280">
        <f>H403*Conversions!$D$67</f>
        <v>0.020600481597536288</v>
      </c>
      <c r="G403" s="281">
        <f t="shared" si="73"/>
        <v>0.20200752906903743</v>
      </c>
      <c r="H403" s="282">
        <f>C403*Conversions!$B$50</f>
        <v>20.200752906903745</v>
      </c>
      <c r="K403">
        <f t="shared" si="74"/>
        <v>2</v>
      </c>
    </row>
    <row r="404" spans="1:11" ht="15">
      <c r="A404" s="639">
        <f t="shared" si="72"/>
        <v>87000</v>
      </c>
      <c r="B404" s="640">
        <f t="shared" si="71"/>
        <v>26100</v>
      </c>
      <c r="C404" s="573">
        <f t="shared" si="70"/>
        <v>0.5873197357337785</v>
      </c>
      <c r="D404" s="278">
        <f>C404*Conversions!$B$53</f>
        <v>14.9179212091226</v>
      </c>
      <c r="E404" s="279">
        <f>C404*Conversions!$B$59</f>
        <v>0.28846548695956015</v>
      </c>
      <c r="F404" s="280">
        <f>H404*Conversions!$D$67</f>
        <v>0.020282484191297877</v>
      </c>
      <c r="G404" s="281">
        <f t="shared" si="73"/>
        <v>0.19888925875188782</v>
      </c>
      <c r="H404" s="282">
        <f>C404*Conversions!$B$50</f>
        <v>19.888925875188782</v>
      </c>
      <c r="K404">
        <f t="shared" si="74"/>
        <v>2</v>
      </c>
    </row>
    <row r="405" spans="1:11" ht="15">
      <c r="A405" s="639">
        <f t="shared" si="72"/>
        <v>87333.33333333334</v>
      </c>
      <c r="B405" s="640">
        <f t="shared" si="71"/>
        <v>26200</v>
      </c>
      <c r="C405" s="573">
        <f aca="true" t="shared" si="75" ref="C405:C457">C$20*((D$20/(D$20+(E$20*(A405-B$20))))^((G$18*H$18)/(F$18*E$20)))</f>
        <v>0.5782577241242154</v>
      </c>
      <c r="D405" s="278">
        <f>C405*Conversions!$B$53</f>
        <v>14.687746115451144</v>
      </c>
      <c r="E405" s="279">
        <f>C405*Conversions!$B$59</f>
        <v>0.28401462751667106</v>
      </c>
      <c r="F405" s="280">
        <f>H405*Conversions!$D$67</f>
        <v>0.019969536922494306</v>
      </c>
      <c r="G405" s="281">
        <f t="shared" si="73"/>
        <v>0.19582050988790622</v>
      </c>
      <c r="H405" s="282">
        <f>C405*Conversions!$B$50</f>
        <v>19.582050988790623</v>
      </c>
      <c r="K405">
        <f t="shared" si="74"/>
        <v>2</v>
      </c>
    </row>
    <row r="406" spans="1:11" ht="15">
      <c r="A406" s="639">
        <f t="shared" si="72"/>
        <v>87666.66666666667</v>
      </c>
      <c r="B406" s="640">
        <f t="shared" si="71"/>
        <v>26300</v>
      </c>
      <c r="C406" s="573">
        <f t="shared" si="75"/>
        <v>0.5693395619421818</v>
      </c>
      <c r="D406" s="278">
        <f>C406*Conversions!$B$53</f>
        <v>14.46122479721971</v>
      </c>
      <c r="E406" s="279">
        <f>C406*Conversions!$B$59</f>
        <v>0.2796344205525537</v>
      </c>
      <c r="F406" s="280">
        <f>H406*Conversions!$D$67</f>
        <v>0.01966155734600938</v>
      </c>
      <c r="G406" s="281">
        <f t="shared" si="73"/>
        <v>0.19280047402345882</v>
      </c>
      <c r="H406" s="282">
        <f>C406*Conversions!$B$50</f>
        <v>19.280047402345883</v>
      </c>
      <c r="K406">
        <f t="shared" si="74"/>
        <v>2</v>
      </c>
    </row>
    <row r="407" spans="1:11" ht="15">
      <c r="A407" s="639">
        <f t="shared" si="72"/>
        <v>88000</v>
      </c>
      <c r="B407" s="640">
        <f t="shared" si="71"/>
        <v>26400</v>
      </c>
      <c r="C407" s="573">
        <f t="shared" si="75"/>
        <v>0.5605629018591832</v>
      </c>
      <c r="D407" s="278">
        <f>C407*Conversions!$B$53</f>
        <v>14.238297632284846</v>
      </c>
      <c r="E407" s="279">
        <f>C407*Conversions!$B$59</f>
        <v>0.27532371316323434</v>
      </c>
      <c r="F407" s="280">
        <f>H407*Conversions!$D$67</f>
        <v>0.019358464399263073</v>
      </c>
      <c r="G407" s="281">
        <f t="shared" si="73"/>
        <v>0.18982835626200817</v>
      </c>
      <c r="H407" s="282">
        <f>C407*Conversions!$B$50</f>
        <v>18.982835626200817</v>
      </c>
      <c r="K407">
        <f t="shared" si="74"/>
        <v>2</v>
      </c>
    </row>
    <row r="408" spans="1:11" ht="15">
      <c r="A408" s="639">
        <f t="shared" si="72"/>
        <v>88333.33333333334</v>
      </c>
      <c r="B408" s="640">
        <f t="shared" si="71"/>
        <v>26500</v>
      </c>
      <c r="C408" s="573">
        <f t="shared" si="75"/>
        <v>0.5519254358917438</v>
      </c>
      <c r="D408" s="278">
        <f>C408*Conversions!$B$53</f>
        <v>14.018905997866577</v>
      </c>
      <c r="E408" s="279">
        <f>C408*Conversions!$B$59</f>
        <v>0.27108137176927266</v>
      </c>
      <c r="F408" s="280">
        <f>H408*Conversions!$D$67</f>
        <v>0.01906017837841518</v>
      </c>
      <c r="G408" s="281">
        <f t="shared" si="73"/>
        <v>0.18690337503076723</v>
      </c>
      <c r="H408" s="282">
        <f>C408*Conversions!$B$50</f>
        <v>18.690337503076723</v>
      </c>
      <c r="K408">
        <f t="shared" si="74"/>
        <v>2</v>
      </c>
    </row>
    <row r="409" spans="1:11" ht="15">
      <c r="A409" s="639">
        <f t="shared" si="72"/>
        <v>88666.66666666667</v>
      </c>
      <c r="B409" s="640">
        <f t="shared" si="71"/>
        <v>26600</v>
      </c>
      <c r="C409" s="573">
        <f t="shared" si="75"/>
        <v>0.5434248947244802</v>
      </c>
      <c r="D409" s="278">
        <f>C409*Conversions!$B$53</f>
        <v>13.80299225335447</v>
      </c>
      <c r="E409" s="279">
        <f>C409*Conversions!$B$59</f>
        <v>0.2669062817832859</v>
      </c>
      <c r="F409" s="280">
        <f>H409*Conversions!$D$67</f>
        <v>0.01876662091498839</v>
      </c>
      <c r="G409" s="281">
        <f t="shared" si="73"/>
        <v>0.184024761851466</v>
      </c>
      <c r="H409" s="282">
        <f>C409*Conversions!$B$50</f>
        <v>18.4024761851466</v>
      </c>
      <c r="K409">
        <f t="shared" si="74"/>
        <v>2</v>
      </c>
    </row>
    <row r="410" spans="1:11" ht="15">
      <c r="A410" s="639">
        <f t="shared" si="72"/>
        <v>89000</v>
      </c>
      <c r="B410" s="640">
        <f aca="true" t="shared" si="76" ref="B410:B473">B409+100</f>
        <v>26700</v>
      </c>
      <c r="C410" s="573">
        <f t="shared" si="75"/>
        <v>0.5350590470451101</v>
      </c>
      <c r="D410" s="278">
        <f>C410*Conversions!$B$53</f>
        <v>13.590499723416851</v>
      </c>
      <c r="E410" s="279">
        <f>C410*Conversions!$B$59</f>
        <v>0.26279734728333426</v>
      </c>
      <c r="F410" s="280">
        <f>H410*Conversions!$D$67</f>
        <v>0.01847771495290347</v>
      </c>
      <c r="G410" s="281">
        <f t="shared" si="73"/>
        <v>0.18119176111515956</v>
      </c>
      <c r="H410" s="282">
        <f>C410*Conversions!$B$50</f>
        <v>18.119176111515955</v>
      </c>
      <c r="K410">
        <f t="shared" si="74"/>
        <v>2</v>
      </c>
    </row>
    <row r="411" spans="1:11" ht="15">
      <c r="A411" s="639">
        <f t="shared" si="72"/>
        <v>89333.33333333334</v>
      </c>
      <c r="B411" s="640">
        <f t="shared" si="76"/>
        <v>26800</v>
      </c>
      <c r="C411" s="573">
        <f t="shared" si="75"/>
        <v>0.5268256988912016</v>
      </c>
      <c r="D411" s="278">
        <f>C411*Conversions!$B$53</f>
        <v>13.381372681408243</v>
      </c>
      <c r="E411" s="279">
        <f>C411*Conversions!$B$59</f>
        <v>0.25875349069207304</v>
      </c>
      <c r="F411" s="280">
        <f>H411*Conversions!$D$67</f>
        <v>0.01819338472591992</v>
      </c>
      <c r="G411" s="281">
        <f t="shared" si="73"/>
        <v>0.17840362986101188</v>
      </c>
      <c r="H411" s="282">
        <f>C411*Conversions!$B$50</f>
        <v>17.840362986101187</v>
      </c>
      <c r="K411">
        <f t="shared" si="74"/>
        <v>2</v>
      </c>
    </row>
    <row r="412" spans="1:11" ht="15">
      <c r="A412" s="639">
        <f t="shared" si="72"/>
        <v>89666.66666666667</v>
      </c>
      <c r="B412" s="640">
        <f t="shared" si="76"/>
        <v>26900</v>
      </c>
      <c r="C412" s="573">
        <f t="shared" si="75"/>
        <v>0.5187226930084643</v>
      </c>
      <c r="D412" s="278">
        <f>C412*Conversions!$B$53</f>
        <v>13.175556333069961</v>
      </c>
      <c r="E412" s="279">
        <f>C412*Conversions!$B$59</f>
        <v>0.25477365246157385</v>
      </c>
      <c r="F412" s="280">
        <f>H412*Conversions!$D$67</f>
        <v>0.01791355573547525</v>
      </c>
      <c r="G412" s="281">
        <f t="shared" si="73"/>
        <v>0.17565963755898864</v>
      </c>
      <c r="H412" s="282">
        <f>C412*Conversions!$B$50</f>
        <v>17.565963755898863</v>
      </c>
      <c r="K412">
        <f t="shared" si="74"/>
        <v>2</v>
      </c>
    </row>
    <row r="413" spans="1:11" ht="15">
      <c r="A413" s="639">
        <f t="shared" si="72"/>
        <v>90000</v>
      </c>
      <c r="B413" s="640">
        <f t="shared" si="76"/>
        <v>27000</v>
      </c>
      <c r="C413" s="573">
        <f t="shared" si="75"/>
        <v>0.5107479082202993</v>
      </c>
      <c r="D413" s="278">
        <f>C413*Conversions!$B$53</f>
        <v>12.972996800516672</v>
      </c>
      <c r="E413" s="279">
        <f>C413*Conversions!$B$59</f>
        <v>0.250856790763675</v>
      </c>
      <c r="F413" s="280">
        <f>H413*Conversions!$D$67</f>
        <v>0.017638154728913</v>
      </c>
      <c r="G413" s="281">
        <f t="shared" si="73"/>
        <v>0.17295906589636206</v>
      </c>
      <c r="H413" s="282">
        <f>C413*Conversions!$B$50</f>
        <v>17.295906589636207</v>
      </c>
      <c r="K413">
        <f t="shared" si="74"/>
        <v>2</v>
      </c>
    </row>
    <row r="414" spans="1:11" ht="15">
      <c r="A414" s="639">
        <f t="shared" si="72"/>
        <v>90333.33333333334</v>
      </c>
      <c r="B414" s="640">
        <f t="shared" si="76"/>
        <v>27100</v>
      </c>
      <c r="C414" s="573">
        <f t="shared" si="75"/>
        <v>0.5028992588084958</v>
      </c>
      <c r="D414" s="278">
        <f>C414*Conversions!$B$53</f>
        <v>12.773641106506105</v>
      </c>
      <c r="E414" s="279">
        <f>C414*Conversions!$B$59</f>
        <v>0.24700188118580751</v>
      </c>
      <c r="F414" s="280">
        <f>H414*Conversions!$D$67</f>
        <v>0.017367109678095738</v>
      </c>
      <c r="G414" s="281">
        <f t="shared" si="73"/>
        <v>0.17030120856799094</v>
      </c>
      <c r="H414" s="282">
        <f>C414*Conversions!$B$50</f>
        <v>17.030120856799094</v>
      </c>
      <c r="K414">
        <f t="shared" si="74"/>
        <v>2</v>
      </c>
    </row>
    <row r="415" spans="1:11" ht="15">
      <c r="A415" s="639">
        <f t="shared" si="72"/>
        <v>90666.66666666667</v>
      </c>
      <c r="B415" s="640">
        <f t="shared" si="76"/>
        <v>27200</v>
      </c>
      <c r="C415" s="573">
        <f t="shared" si="75"/>
        <v>0.4951746939048259</v>
      </c>
      <c r="D415" s="278">
        <f>C415*Conversions!$B$53</f>
        <v>12.577437158985541</v>
      </c>
      <c r="E415" s="279">
        <f>C415*Conversions!$B$59</f>
        <v>0.24320791643217302</v>
      </c>
      <c r="F415" s="280">
        <f>H415*Conversions!$D$67</f>
        <v>0.017100349758394424</v>
      </c>
      <c r="G415" s="281">
        <f t="shared" si="73"/>
        <v>0.1676853710702908</v>
      </c>
      <c r="H415" s="282">
        <f>C415*Conversions!$B$50</f>
        <v>16.76853710702908</v>
      </c>
      <c r="K415">
        <f t="shared" si="74"/>
        <v>2</v>
      </c>
    </row>
    <row r="416" spans="1:11" ht="15">
      <c r="A416" s="639">
        <f t="shared" si="72"/>
        <v>91000</v>
      </c>
      <c r="B416" s="640">
        <f t="shared" si="76"/>
        <v>27300</v>
      </c>
      <c r="C416" s="573">
        <f t="shared" si="75"/>
        <v>0.4875721968933321</v>
      </c>
      <c r="D416" s="278">
        <f>C416*Conversions!$B$53</f>
        <v>12.384333735909932</v>
      </c>
      <c r="E416" s="279">
        <f>C416*Conversions!$B$59</f>
        <v>0.23947390603017413</v>
      </c>
      <c r="F416" s="280">
        <f>H416*Conversions!$D$67</f>
        <v>0.01683780532804702</v>
      </c>
      <c r="G416" s="281">
        <f t="shared" si="73"/>
        <v>0.1651108704988255</v>
      </c>
      <c r="H416" s="282">
        <f>C416*Conversions!$B$50</f>
        <v>16.51108704988255</v>
      </c>
      <c r="K416">
        <f t="shared" si="74"/>
        <v>2</v>
      </c>
    </row>
    <row r="417" spans="1:11" ht="15">
      <c r="A417" s="639">
        <f t="shared" si="72"/>
        <v>91333.33333333334</v>
      </c>
      <c r="B417" s="640">
        <f t="shared" si="76"/>
        <v>27400</v>
      </c>
      <c r="C417" s="573">
        <f t="shared" si="75"/>
        <v>0.4800897848231352</v>
      </c>
      <c r="D417" s="278">
        <f>C417*Conversions!$B$53</f>
        <v>12.194280470327211</v>
      </c>
      <c r="E417" s="279">
        <f>C417*Conversions!$B$59</f>
        <v>0.2357988760420114</v>
      </c>
      <c r="F417" s="280">
        <f>H417*Conversions!$D$67</f>
        <v>0.016579407907880407</v>
      </c>
      <c r="G417" s="281">
        <f t="shared" si="73"/>
        <v>0.16257703534946114</v>
      </c>
      <c r="H417" s="282">
        <f>C417*Conversions!$B$50</f>
        <v>16.257703534946113</v>
      </c>
      <c r="K417">
        <f t="shared" si="74"/>
        <v>2</v>
      </c>
    </row>
    <row r="418" spans="1:11" ht="15">
      <c r="A418" s="639">
        <f t="shared" si="72"/>
        <v>91666.66666666667</v>
      </c>
      <c r="B418" s="640">
        <f t="shared" si="76"/>
        <v>27500</v>
      </c>
      <c r="C418" s="573">
        <f t="shared" si="75"/>
        <v>0.47272550783158895</v>
      </c>
      <c r="D418" s="278">
        <f>C418*Conversions!$B$53</f>
        <v>12.007227835726423</v>
      </c>
      <c r="E418" s="279">
        <f>C418*Conversions!$B$59</f>
        <v>0.23218186878136252</v>
      </c>
      <c r="F418" s="280">
        <f>H418*Conversions!$D$67</f>
        <v>0.016325090161389628</v>
      </c>
      <c r="G418" s="281">
        <f t="shared" si="73"/>
        <v>0.16008320532302367</v>
      </c>
      <c r="H418" s="282">
        <f>C418*Conversions!$B$50</f>
        <v>16.008320532302367</v>
      </c>
      <c r="K418">
        <f t="shared" si="74"/>
        <v>2</v>
      </c>
    </row>
    <row r="419" spans="1:11" ht="15">
      <c r="A419" s="639">
        <f t="shared" si="72"/>
        <v>92000</v>
      </c>
      <c r="B419" s="640">
        <f t="shared" si="76"/>
        <v>27600</v>
      </c>
      <c r="C419" s="573">
        <f t="shared" si="75"/>
        <v>0.46547744857753953</v>
      </c>
      <c r="D419" s="278">
        <f>C419*Conversions!$B$53</f>
        <v>11.82312713164252</v>
      </c>
      <c r="E419" s="279">
        <f>C419*Conversions!$B$59</f>
        <v>0.2286219425350243</v>
      </c>
      <c r="F419" s="280">
        <f>H419*Conversions!$D$67</f>
        <v>0.016074785875166076</v>
      </c>
      <c r="G419" s="281">
        <f t="shared" si="73"/>
        <v>0.15762873113337872</v>
      </c>
      <c r="H419" s="282">
        <f>C419*Conversions!$B$50</f>
        <v>15.762873113337873</v>
      </c>
      <c r="K419">
        <f t="shared" si="74"/>
        <v>2</v>
      </c>
    </row>
    <row r="420" spans="1:11" ht="15">
      <c r="A420" s="639">
        <f t="shared" si="72"/>
        <v>92333.33333333334</v>
      </c>
      <c r="B420" s="640">
        <f t="shared" si="76"/>
        <v>27700</v>
      </c>
      <c r="C420" s="573">
        <f t="shared" si="75"/>
        <v>0.4583437216845593</v>
      </c>
      <c r="D420" s="278">
        <f>C420*Conversions!$B$53</f>
        <v>11.641930469514488</v>
      </c>
      <c r="E420" s="279">
        <f>C420*Conversions!$B$59</f>
        <v>0.22511817128945383</v>
      </c>
      <c r="F420" s="280">
        <f>H420*Conversions!$D$67</f>
        <v>0.015828429939670163</v>
      </c>
      <c r="G420" s="281">
        <f t="shared" si="73"/>
        <v>0.1552129743188889</v>
      </c>
      <c r="H420" s="282">
        <f>C420*Conversions!$B$50</f>
        <v>15.521297431888888</v>
      </c>
      <c r="K420">
        <f t="shared" si="74"/>
        <v>2</v>
      </c>
    </row>
    <row r="421" spans="1:11" ht="15">
      <c r="A421" s="639">
        <f t="shared" si="72"/>
        <v>92666.66666666667</v>
      </c>
      <c r="B421" s="640">
        <f t="shared" si="76"/>
        <v>27800</v>
      </c>
      <c r="C421" s="573">
        <f t="shared" si="75"/>
        <v>0.4513224731939738</v>
      </c>
      <c r="D421" s="278">
        <f>C421*Conversions!$B$53</f>
        <v>11.463590758792247</v>
      </c>
      <c r="E421" s="279">
        <f>C421*Conversions!$B$59</f>
        <v>0.22166964446211954</v>
      </c>
      <c r="F421" s="280">
        <f>H421*Conversions!$D$67</f>
        <v>0.015585958330342145</v>
      </c>
      <c r="G421" s="281">
        <f t="shared" si="73"/>
        <v>0.1528353070571874</v>
      </c>
      <c r="H421" s="282">
        <f>C421*Conversions!$B$50</f>
        <v>15.283530705718741</v>
      </c>
      <c r="K421">
        <f t="shared" si="74"/>
        <v>2</v>
      </c>
    </row>
    <row r="422" spans="1:11" ht="15">
      <c r="A422" s="639">
        <f t="shared" si="72"/>
        <v>93000</v>
      </c>
      <c r="B422" s="640">
        <f t="shared" si="76"/>
        <v>27900</v>
      </c>
      <c r="C422" s="573">
        <f t="shared" si="75"/>
        <v>0.4444118800274497</v>
      </c>
      <c r="D422" s="278">
        <f>C422*Conversions!$B$53</f>
        <v>11.288061693286371</v>
      </c>
      <c r="E422" s="279">
        <f>C422*Conversions!$B$59</f>
        <v>0.21827546663754804</v>
      </c>
      <c r="F422" s="280">
        <f>H422*Conversions!$D$67</f>
        <v>0.015347308089043173</v>
      </c>
      <c r="G422" s="281">
        <f t="shared" si="73"/>
        <v>0.15049511198318968</v>
      </c>
      <c r="H422" s="282">
        <f>C422*Conversions!$B$50</f>
        <v>15.049511198318969</v>
      </c>
      <c r="K422">
        <f t="shared" si="74"/>
        <v>2</v>
      </c>
    </row>
    <row r="423" spans="1:11" ht="15">
      <c r="A423" s="639">
        <f t="shared" si="72"/>
        <v>93333.33333333334</v>
      </c>
      <c r="B423" s="640">
        <f t="shared" si="76"/>
        <v>28000</v>
      </c>
      <c r="C423" s="573">
        <f t="shared" si="75"/>
        <v>0.4376101494590487</v>
      </c>
      <c r="D423" s="278">
        <f>C423*Conversions!$B$53</f>
        <v>11.11529773775827</v>
      </c>
      <c r="E423" s="279">
        <f>C423*Conversions!$B$59</f>
        <v>0.21493475730802045</v>
      </c>
      <c r="F423" s="280">
        <f>H423*Conversions!$D$67</f>
        <v>0.015112417305823187</v>
      </c>
      <c r="G423" s="281">
        <f t="shared" si="73"/>
        <v>0.1481917820103101</v>
      </c>
      <c r="H423" s="282">
        <f>C423*Conversions!$B$50</f>
        <v>14.81917820103101</v>
      </c>
      <c r="K423">
        <f t="shared" si="74"/>
        <v>2</v>
      </c>
    </row>
    <row r="424" spans="1:11" ht="15">
      <c r="A424" s="639">
        <f t="shared" si="72"/>
        <v>93666.66666666667</v>
      </c>
      <c r="B424" s="640">
        <f t="shared" si="76"/>
        <v>28100</v>
      </c>
      <c r="C424" s="573">
        <f t="shared" si="75"/>
        <v>0.4309155185965282</v>
      </c>
      <c r="D424" s="278">
        <f>C424*Conversions!$B$53</f>
        <v>10.945254114745216</v>
      </c>
      <c r="E424" s="279">
        <f>C424*Conversions!$B$59</f>
        <v>0.21164665061881013</v>
      </c>
      <c r="F424" s="280">
        <f>H424*Conversions!$D$67</f>
        <v>0.014881225101008205</v>
      </c>
      <c r="G424" s="281">
        <f t="shared" si="73"/>
        <v>0.14592472015481042</v>
      </c>
      <c r="H424" s="282">
        <f>C424*Conversions!$B$50</f>
        <v>14.592472015481041</v>
      </c>
      <c r="K424">
        <f t="shared" si="74"/>
        <v>2</v>
      </c>
    </row>
    <row r="425" spans="1:11" ht="15">
      <c r="A425" s="639">
        <f t="shared" si="72"/>
        <v>94000</v>
      </c>
      <c r="B425" s="640">
        <f t="shared" si="76"/>
        <v>28200</v>
      </c>
      <c r="C425" s="573">
        <f t="shared" si="75"/>
        <v>0.4243262538717222</v>
      </c>
      <c r="D425" s="278">
        <f>C425*Conversions!$B$53</f>
        <v>10.777886791616025</v>
      </c>
      <c r="E425" s="279">
        <f>C425*Conversions!$B$59</f>
        <v>0.20841029511788037</v>
      </c>
      <c r="F425" s="280">
        <f>H425*Conversions!$D$67</f>
        <v>0.014653671607601105</v>
      </c>
      <c r="G425" s="281">
        <f t="shared" si="73"/>
        <v>0.14369333936322284</v>
      </c>
      <c r="H425" s="282">
        <f>C425*Conversions!$B$50</f>
        <v>14.369333936322285</v>
      </c>
      <c r="K425">
        <f t="shared" si="74"/>
        <v>2</v>
      </c>
    </row>
    <row r="426" spans="1:11" ht="15">
      <c r="A426" s="639">
        <f t="shared" si="72"/>
        <v>94333.33333333334</v>
      </c>
      <c r="B426" s="640">
        <f t="shared" si="76"/>
        <v>28300</v>
      </c>
      <c r="C426" s="573">
        <f t="shared" si="75"/>
        <v>0.4178406505398625</v>
      </c>
      <c r="D426" s="278">
        <f>C426*Conversions!$B$53</f>
        <v>10.613152467853812</v>
      </c>
      <c r="E426" s="279">
        <f>C426*Conversions!$B$59</f>
        <v>0.20522485350997316</v>
      </c>
      <c r="F426" s="280">
        <f>H426*Conversions!$D$67</f>
        <v>0.014429697953991244</v>
      </c>
      <c r="G426" s="281">
        <f t="shared" si="73"/>
        <v>0.141497062342801</v>
      </c>
      <c r="H426" s="282">
        <f>C426*Conversions!$B$50</f>
        <v>14.149706234280098</v>
      </c>
      <c r="K426">
        <f t="shared" si="74"/>
        <v>2</v>
      </c>
    </row>
    <row r="427" spans="1:11" ht="15">
      <c r="A427" s="639">
        <f t="shared" si="72"/>
        <v>94666.66666666667</v>
      </c>
      <c r="B427" s="640">
        <f t="shared" si="76"/>
        <v>28400</v>
      </c>
      <c r="C427" s="573">
        <f t="shared" si="75"/>
        <v>0.41145703218768326</v>
      </c>
      <c r="D427" s="278">
        <f>C427*Conversions!$B$53</f>
        <v>10.451008562561848</v>
      </c>
      <c r="E427" s="279">
        <f>C427*Conversions!$B$59</f>
        <v>0.2020895024150117</v>
      </c>
      <c r="F427" s="280">
        <f>H427*Conversions!$D$67</f>
        <v>0.014209246246967315</v>
      </c>
      <c r="G427" s="281">
        <f t="shared" si="73"/>
        <v>0.13933532139494464</v>
      </c>
      <c r="H427" s="282">
        <f>C427*Conversions!$B$50</f>
        <v>13.933532139494464</v>
      </c>
      <c r="K427">
        <f t="shared" si="74"/>
        <v>2</v>
      </c>
    </row>
    <row r="428" spans="1:11" ht="15">
      <c r="A428" s="639">
        <f t="shared" si="72"/>
        <v>95000</v>
      </c>
      <c r="B428" s="640">
        <f t="shared" si="76"/>
        <v>28500</v>
      </c>
      <c r="C428" s="573">
        <f t="shared" si="75"/>
        <v>0.40517375025009794</v>
      </c>
      <c r="D428" s="278">
        <f>C428*Conversions!$B$53</f>
        <v>10.291413202187156</v>
      </c>
      <c r="E428" s="279">
        <f>C428*Conversions!$B$59</f>
        <v>0.19900343213071373</v>
      </c>
      <c r="F428" s="280">
        <f>H428*Conversions!$D$67</f>
        <v>0.013992259555026303</v>
      </c>
      <c r="G428" s="281">
        <f t="shared" si="73"/>
        <v>0.1372075582515281</v>
      </c>
      <c r="H428" s="282">
        <f>C428*Conversions!$B$50</f>
        <v>13.72075582515281</v>
      </c>
      <c r="K428">
        <f t="shared" si="74"/>
        <v>2</v>
      </c>
    </row>
    <row r="429" spans="1:11" ht="15">
      <c r="A429" s="639">
        <f t="shared" si="72"/>
        <v>95333.33333333334</v>
      </c>
      <c r="B429" s="640">
        <f t="shared" si="76"/>
        <v>28600</v>
      </c>
      <c r="C429" s="573">
        <f t="shared" si="75"/>
        <v>0.3989891835353686</v>
      </c>
      <c r="D429" s="278">
        <f>C429*Conversions!$B$53</f>
        <v>10.13432520845981</v>
      </c>
      <c r="E429" s="279">
        <f>C429*Conversions!$B$59</f>
        <v>0.19596584639937545</v>
      </c>
      <c r="F429" s="280">
        <f>H429*Conversions!$D$67</f>
        <v>0.013778681891975689</v>
      </c>
      <c r="G429" s="281">
        <f t="shared" si="73"/>
        <v>0.13511322391410396</v>
      </c>
      <c r="H429" s="282">
        <f>C429*Conversions!$B$50</f>
        <v>13.511322391410397</v>
      </c>
      <c r="K429">
        <f t="shared" si="74"/>
        <v>2</v>
      </c>
    </row>
    <row r="430" spans="1:11" ht="15">
      <c r="A430" s="639">
        <f t="shared" si="72"/>
        <v>95666.66666666667</v>
      </c>
      <c r="B430" s="640">
        <f t="shared" si="76"/>
        <v>28700</v>
      </c>
      <c r="C430" s="573">
        <f t="shared" si="75"/>
        <v>0.39290173775857495</v>
      </c>
      <c r="D430" s="278">
        <f>C430*Conversions!$B$53</f>
        <v>9.979704086543046</v>
      </c>
      <c r="E430" s="279">
        <f>C430*Conversions!$B$59</f>
        <v>0.19297596217873236</v>
      </c>
      <c r="F430" s="280">
        <f>H430*Conversions!$D$67</f>
        <v>0.013568458200822277</v>
      </c>
      <c r="G430" s="281">
        <f t="shared" si="73"/>
        <v>0.13305177849591765</v>
      </c>
      <c r="H430" s="282">
        <f>C430*Conversions!$B$50</f>
        <v>13.305177849591765</v>
      </c>
      <c r="K430">
        <f t="shared" si="74"/>
        <v>2</v>
      </c>
    </row>
    <row r="431" spans="1:11" ht="15">
      <c r="A431" s="639">
        <f t="shared" si="72"/>
        <v>96000</v>
      </c>
      <c r="B431" s="640">
        <f t="shared" si="76"/>
        <v>28800</v>
      </c>
      <c r="C431" s="573">
        <f t="shared" si="75"/>
        <v>0.3869098450832155</v>
      </c>
      <c r="D431" s="278">
        <f>C431*Conversions!$B$53</f>
        <v>9.827510013389938</v>
      </c>
      <c r="E431" s="279">
        <f>C431*Conversions!$B$59</f>
        <v>0.19003300941681384</v>
      </c>
      <c r="F431" s="280">
        <f>H431*Conversions!$D$67</f>
        <v>0.013361534337941875</v>
      </c>
      <c r="G431" s="281">
        <f t="shared" si="73"/>
        <v>0.13102269106667572</v>
      </c>
      <c r="H431" s="282">
        <f>C431*Conversions!$B$50</f>
        <v>13.102269106667572</v>
      </c>
      <c r="K431">
        <f t="shared" si="74"/>
        <v>2</v>
      </c>
    </row>
    <row r="432" spans="1:11" ht="15">
      <c r="A432" s="639">
        <f t="shared" si="72"/>
        <v>96333.33333333334</v>
      </c>
      <c r="B432" s="640">
        <f t="shared" si="76"/>
        <v>28900</v>
      </c>
      <c r="C432" s="573">
        <f t="shared" si="75"/>
        <v>0.3810119636708449</v>
      </c>
      <c r="D432" s="278">
        <f>C432*Conversions!$B$53</f>
        <v>9.677703826304178</v>
      </c>
      <c r="E432" s="279">
        <f>C432*Conversions!$B$59</f>
        <v>0.187136230830745</v>
      </c>
      <c r="F432" s="280">
        <f>H432*Conversions!$D$67</f>
        <v>0.01315785705752646</v>
      </c>
      <c r="G432" s="281">
        <f t="shared" si="73"/>
        <v>0.12902543950003564</v>
      </c>
      <c r="H432" s="282">
        <f>C432*Conversions!$B$50</f>
        <v>12.902543950003563</v>
      </c>
      <c r="K432">
        <f t="shared" si="74"/>
        <v>2</v>
      </c>
    </row>
    <row r="433" spans="1:11" ht="15">
      <c r="A433" s="639">
        <f t="shared" si="72"/>
        <v>96666.66666666667</v>
      </c>
      <c r="B433" s="640">
        <f t="shared" si="76"/>
        <v>29000</v>
      </c>
      <c r="C433" s="573">
        <f t="shared" si="75"/>
        <v>0.3752065772385707</v>
      </c>
      <c r="D433" s="278">
        <f>C433*Conversions!$B$53</f>
        <v>9.530247011700501</v>
      </c>
      <c r="E433" s="279">
        <f>C433*Conversions!$B$59</f>
        <v>0.18428488168940863</v>
      </c>
      <c r="F433" s="280">
        <f>H433*Conversions!$D$67</f>
        <v>0.012957373996302802</v>
      </c>
      <c r="G433" s="281">
        <f t="shared" si="73"/>
        <v>0.127059510323757</v>
      </c>
      <c r="H433" s="282">
        <f>C433*Conversions!$B$50</f>
        <v>12.705951032375701</v>
      </c>
      <c r="K433">
        <f t="shared" si="74"/>
        <v>2</v>
      </c>
    </row>
    <row r="434" spans="1:11" ht="15">
      <c r="A434" s="639">
        <f t="shared" si="72"/>
        <v>97000</v>
      </c>
      <c r="B434" s="640">
        <f t="shared" si="76"/>
        <v>29100</v>
      </c>
      <c r="C434" s="573">
        <f t="shared" si="75"/>
        <v>0.36949219462426897</v>
      </c>
      <c r="D434" s="278">
        <f>C434*Conversions!$B$53</f>
        <v>9.385101694061161</v>
      </c>
      <c r="E434" s="279">
        <f>C434*Conversions!$B$59</f>
        <v>0.18147822959989843</v>
      </c>
      <c r="F434" s="280">
        <f>H434*Conversions!$D$67</f>
        <v>0.01276003365851763</v>
      </c>
      <c r="G434" s="281">
        <f t="shared" si="73"/>
        <v>0.1251243985724667</v>
      </c>
      <c r="H434" s="282">
        <f>C434*Conversions!$B$50</f>
        <v>12.512439857246672</v>
      </c>
      <c r="K434">
        <f t="shared" si="74"/>
        <v>2</v>
      </c>
    </row>
    <row r="435" spans="1:11" ht="15">
      <c r="A435" s="639">
        <f t="shared" si="72"/>
        <v>97333.33333333334</v>
      </c>
      <c r="B435" s="640">
        <f t="shared" si="76"/>
        <v>29200</v>
      </c>
      <c r="C435" s="573">
        <f t="shared" si="75"/>
        <v>0.36386734935938964</v>
      </c>
      <c r="D435" s="278">
        <f>C435*Conversions!$B$53</f>
        <v>9.242230625085178</v>
      </c>
      <c r="E435" s="279">
        <f>C435*Conversions!$B$59</f>
        <v>0.1787155542976997</v>
      </c>
      <c r="F435" s="280">
        <f>H435*Conversions!$D$67</f>
        <v>0.01256578540118489</v>
      </c>
      <c r="G435" s="281">
        <f t="shared" si="73"/>
        <v>0.12321960764299417</v>
      </c>
      <c r="H435" s="282">
        <f>C435*Conversions!$B$50</f>
        <v>12.321960764299417</v>
      </c>
      <c r="K435">
        <f t="shared" si="74"/>
        <v>2</v>
      </c>
    </row>
    <row r="436" spans="1:11" ht="15">
      <c r="A436" s="639">
        <f t="shared" si="72"/>
        <v>97666.66666666667</v>
      </c>
      <c r="B436" s="640">
        <f t="shared" si="76"/>
        <v>29300</v>
      </c>
      <c r="C436" s="573">
        <f t="shared" si="75"/>
        <v>0.3583305992492257</v>
      </c>
      <c r="D436" s="278">
        <f>C436*Conversions!$B$53</f>
        <v>9.10159717302719</v>
      </c>
      <c r="E436" s="279">
        <f>C436*Conversions!$B$59</f>
        <v>0.1759961474405363</v>
      </c>
      <c r="F436" s="280">
        <f>H436*Conversions!$D$67</f>
        <v>0.012374579419590786</v>
      </c>
      <c r="G436" s="281">
        <f t="shared" si="73"/>
        <v>0.12134464915223422</v>
      </c>
      <c r="H436" s="282">
        <f>C436*Conversions!$B$50</f>
        <v>12.134464915223422</v>
      </c>
      <c r="K436">
        <f t="shared" si="74"/>
        <v>2</v>
      </c>
    </row>
    <row r="437" spans="1:11" ht="15">
      <c r="A437" s="639">
        <f t="shared" si="72"/>
        <v>98000</v>
      </c>
      <c r="B437" s="640">
        <f t="shared" si="76"/>
        <v>29400</v>
      </c>
      <c r="C437" s="573">
        <f t="shared" si="75"/>
        <v>0.3528805259604808</v>
      </c>
      <c r="D437" s="278">
        <f>C437*Conversions!$B$53</f>
        <v>8.963165312221658</v>
      </c>
      <c r="E437" s="279">
        <f>C437*Conversions!$B$59</f>
        <v>0.17331931240580195</v>
      </c>
      <c r="F437" s="280">
        <f>H437*Conversions!$D$67</f>
        <v>0.012186366733050845</v>
      </c>
      <c r="G437" s="281">
        <f t="shared" si="73"/>
        <v>0.11949904279748153</v>
      </c>
      <c r="H437" s="282">
        <f>C437*Conversions!$B$50</f>
        <v>11.949904279748152</v>
      </c>
      <c r="K437">
        <f t="shared" si="74"/>
        <v>2</v>
      </c>
    </row>
    <row r="438" spans="1:11" ht="15">
      <c r="A438" s="639">
        <f t="shared" si="72"/>
        <v>98333.33333333334</v>
      </c>
      <c r="B438" s="640">
        <f t="shared" si="76"/>
        <v>29500</v>
      </c>
      <c r="C438" s="573">
        <f t="shared" si="75"/>
        <v>0.3475157346160353</v>
      </c>
      <c r="D438" s="278">
        <f>C438*Conversions!$B$53</f>
        <v>8.82689961278993</v>
      </c>
      <c r="E438" s="279">
        <f>C438*Conversions!$B$59</f>
        <v>0.17068436409152737</v>
      </c>
      <c r="F438" s="280">
        <f>H438*Conversions!$D$67</f>
        <v>0.012001099170915575</v>
      </c>
      <c r="G438" s="281">
        <f t="shared" si="73"/>
        <v>0.1176823162192026</v>
      </c>
      <c r="H438" s="282">
        <f>C438*Conversions!$B$50</f>
        <v>11.76823162192026</v>
      </c>
      <c r="K438">
        <f t="shared" si="74"/>
        <v>2</v>
      </c>
    </row>
    <row r="439" spans="1:11" ht="15">
      <c r="A439" s="639">
        <f t="shared" si="72"/>
        <v>98666.66666666667</v>
      </c>
      <c r="B439" s="640">
        <f t="shared" si="76"/>
        <v>29600</v>
      </c>
      <c r="C439" s="573">
        <f t="shared" si="75"/>
        <v>0.34223485339678283</v>
      </c>
      <c r="D439" s="278">
        <f>C439*Conversions!$B$53</f>
        <v>8.692765230526888</v>
      </c>
      <c r="E439" s="279">
        <f>C439*Conversions!$B$59</f>
        <v>0.16809062872081992</v>
      </c>
      <c r="F439" s="280">
        <f>H439*Conversions!$D$67</f>
        <v>0.011818729358820309</v>
      </c>
      <c r="G439" s="281">
        <f t="shared" si="73"/>
        <v>0.11589400486620223</v>
      </c>
      <c r="H439" s="282">
        <f>C439*Conversions!$B$50</f>
        <v>11.589400486620223</v>
      </c>
      <c r="K439">
        <f t="shared" si="74"/>
        <v>2</v>
      </c>
    </row>
    <row r="440" spans="1:11" ht="15">
      <c r="A440" s="639">
        <f t="shared" si="72"/>
        <v>99000</v>
      </c>
      <c r="B440" s="640">
        <f t="shared" si="76"/>
        <v>29700</v>
      </c>
      <c r="C440" s="573">
        <f t="shared" si="75"/>
        <v>0.33703653315036924</v>
      </c>
      <c r="D440" s="278">
        <f>C440*Conversions!$B$53</f>
        <v>8.560727896962916</v>
      </c>
      <c r="E440" s="279">
        <f>C440*Conversions!$B$59</f>
        <v>0.16553744364969344</v>
      </c>
      <c r="F440" s="280">
        <f>H440*Conversions!$D$67</f>
        <v>0.0116392107051734</v>
      </c>
      <c r="G440" s="281">
        <f t="shared" si="73"/>
        <v>0.11413365186312731</v>
      </c>
      <c r="H440" s="282">
        <f>C440*Conversions!$B$50</f>
        <v>11.413365186312731</v>
      </c>
      <c r="K440">
        <f t="shared" si="74"/>
        <v>2</v>
      </c>
    </row>
    <row r="441" spans="1:11" ht="15">
      <c r="A441" s="639">
        <f t="shared" si="72"/>
        <v>99333.33333333334</v>
      </c>
      <c r="B441" s="640">
        <f t="shared" si="76"/>
        <v>29800</v>
      </c>
      <c r="C441" s="573">
        <f t="shared" si="75"/>
        <v>0.33191944700677367</v>
      </c>
      <c r="D441" s="278">
        <f>C441*Conversions!$B$53</f>
        <v>8.430753909599662</v>
      </c>
      <c r="E441" s="279">
        <f>C441*Conversions!$B$59</f>
        <v>0.16302415717825872</v>
      </c>
      <c r="F441" s="280">
        <f>H441*Conversions!$D$67</f>
        <v>0.011462497387880702</v>
      </c>
      <c r="G441" s="281">
        <f t="shared" si="73"/>
        <v>0.11240080788028761</v>
      </c>
      <c r="H441" s="282">
        <f>C441*Conversions!$B$50</f>
        <v>11.240080788028761</v>
      </c>
      <c r="K441">
        <f t="shared" si="74"/>
        <v>2</v>
      </c>
    </row>
    <row r="442" spans="1:11" ht="15">
      <c r="A442" s="639">
        <f t="shared" si="72"/>
        <v>99666.66666666667</v>
      </c>
      <c r="B442" s="640">
        <f t="shared" si="76"/>
        <v>29900</v>
      </c>
      <c r="C442" s="573">
        <f t="shared" si="75"/>
        <v>0.3268822900005616</v>
      </c>
      <c r="D442" s="278">
        <f>C442*Conversions!$B$53</f>
        <v>8.302810122315265</v>
      </c>
      <c r="E442" s="279">
        <f>C442*Conversions!$B$59</f>
        <v>0.16055012836519095</v>
      </c>
      <c r="F442" s="280">
        <f>H442*Conversions!$D$67</f>
        <v>0.011288544341300482</v>
      </c>
      <c r="G442" s="281">
        <f t="shared" si="73"/>
        <v>0.11069503100573609</v>
      </c>
      <c r="H442" s="282">
        <f>C442*Conversions!$B$50</f>
        <v>11.069503100573609</v>
      </c>
      <c r="K442">
        <f t="shared" si="74"/>
        <v>2</v>
      </c>
    </row>
    <row r="443" spans="1:11" ht="15">
      <c r="A443" s="639">
        <f t="shared" si="72"/>
        <v>100000</v>
      </c>
      <c r="B443" s="640">
        <f t="shared" si="76"/>
        <v>30000</v>
      </c>
      <c r="C443" s="573">
        <f t="shared" si="75"/>
        <v>0.3219237786997021</v>
      </c>
      <c r="D443" s="278">
        <f>C443*Conversions!$B$53</f>
        <v>8.176863935936309</v>
      </c>
      <c r="E443" s="279">
        <f>C443*Conversions!$B$59</f>
        <v>0.15811472684542102</v>
      </c>
      <c r="F443" s="280">
        <f>H443*Conversions!$D$67</f>
        <v>0.011117307243424985</v>
      </c>
      <c r="G443" s="281">
        <f t="shared" si="73"/>
        <v>0.1090158866195719</v>
      </c>
      <c r="H443" s="282">
        <f>C443*Conversions!$B$50</f>
        <v>10.90158866195719</v>
      </c>
      <c r="K443">
        <f t="shared" si="74"/>
        <v>2</v>
      </c>
    </row>
    <row r="444" spans="1:11" ht="15">
      <c r="A444" s="639">
        <f t="shared" si="72"/>
        <v>100333.33333333334</v>
      </c>
      <c r="B444" s="640">
        <f t="shared" si="76"/>
        <v>30100</v>
      </c>
      <c r="C444" s="573">
        <f t="shared" si="75"/>
        <v>0.31704265084084987</v>
      </c>
      <c r="D444" s="278">
        <f>C444*Conversions!$B$53</f>
        <v>8.052883288973991</v>
      </c>
      <c r="E444" s="279">
        <f>C444*Conversions!$B$59</f>
        <v>0.15571733265100232</v>
      </c>
      <c r="F444" s="280">
        <f>H444*Conversions!$D$67</f>
        <v>0.010948742503285298</v>
      </c>
      <c r="G444" s="281">
        <f t="shared" si="73"/>
        <v>0.10736294727043286</v>
      </c>
      <c r="H444" s="282">
        <f>C444*Conversions!$B$50</f>
        <v>10.736294727043285</v>
      </c>
      <c r="K444">
        <f t="shared" si="74"/>
        <v>2</v>
      </c>
    </row>
    <row r="445" spans="1:11" ht="15">
      <c r="A445" s="639">
        <f t="shared" si="72"/>
        <v>100666.66666666667</v>
      </c>
      <c r="B445" s="640">
        <f t="shared" si="76"/>
        <v>30200</v>
      </c>
      <c r="C445" s="573">
        <f t="shared" si="75"/>
        <v>0.3122376649709548</v>
      </c>
      <c r="D445" s="278">
        <f>C445*Conversions!$B$53</f>
        <v>7.930836648521007</v>
      </c>
      <c r="E445" s="279">
        <f>C445*Conversions!$B$59</f>
        <v>0.15335733603508514</v>
      </c>
      <c r="F445" s="280">
        <f>H445*Conversions!$D$67</f>
        <v>0.01078280724857468</v>
      </c>
      <c r="G445" s="281">
        <f t="shared" si="73"/>
        <v>0.10573579255413039</v>
      </c>
      <c r="H445" s="282">
        <f>C445*Conversions!$B$50</f>
        <v>10.573579255413039</v>
      </c>
      <c r="K445">
        <f t="shared" si="74"/>
        <v>2</v>
      </c>
    </row>
    <row r="446" spans="1:11" ht="15">
      <c r="A446" s="639">
        <f t="shared" si="72"/>
        <v>101000</v>
      </c>
      <c r="B446" s="640">
        <f t="shared" si="76"/>
        <v>30300</v>
      </c>
      <c r="C446" s="573">
        <f t="shared" si="75"/>
        <v>0.3075076000950967</v>
      </c>
      <c r="D446" s="278">
        <f>C446*Conversions!$B$53</f>
        <v>7.8106930013065465</v>
      </c>
      <c r="E446" s="279">
        <f>C446*Conversions!$B$59</f>
        <v>0.15103413729894868</v>
      </c>
      <c r="F446" s="280">
        <f>H446*Conversions!$D$67</f>
        <v>0.010619459313486915</v>
      </c>
      <c r="G446" s="281">
        <f t="shared" si="73"/>
        <v>0.10413400899439287</v>
      </c>
      <c r="H446" s="282">
        <f>C446*Conversions!$B$50</f>
        <v>10.413400899439287</v>
      </c>
      <c r="K446">
        <f t="shared" si="74"/>
        <v>2</v>
      </c>
    </row>
    <row r="447" spans="1:11" ht="15">
      <c r="A447" s="639">
        <f t="shared" si="72"/>
        <v>101333.33333333334</v>
      </c>
      <c r="B447" s="640">
        <f t="shared" si="76"/>
        <v>30400</v>
      </c>
      <c r="C447" s="573">
        <f t="shared" si="75"/>
        <v>0.30285125533043417</v>
      </c>
      <c r="D447" s="278">
        <f>C447*Conversions!$B$53</f>
        <v>7.6924218449065975</v>
      </c>
      <c r="E447" s="279">
        <f>C447*Conversions!$B$59</f>
        <v>0.14874714662203598</v>
      </c>
      <c r="F447" s="280">
        <f>H447*Conversions!$D$67</f>
        <v>0.010458657226765776</v>
      </c>
      <c r="G447" s="281">
        <f t="shared" si="73"/>
        <v>0.10255718992567908</v>
      </c>
      <c r="H447" s="282">
        <f>C447*Conversions!$B$50</f>
        <v>10.255718992567909</v>
      </c>
      <c r="K447">
        <f t="shared" si="74"/>
        <v>2</v>
      </c>
    </row>
    <row r="448" spans="1:11" ht="15">
      <c r="A448" s="639">
        <f t="shared" si="72"/>
        <v>101666.66666666667</v>
      </c>
      <c r="B448" s="640">
        <f t="shared" si="76"/>
        <v>30500</v>
      </c>
      <c r="C448" s="573">
        <f t="shared" si="75"/>
        <v>0.29826744956616064</v>
      </c>
      <c r="D448" s="278">
        <f>C448*Conversions!$B$53</f>
        <v>7.575993179106832</v>
      </c>
      <c r="E448" s="279">
        <f>C448*Conversions!$B$59</f>
        <v>0.14649578389493947</v>
      </c>
      <c r="F448" s="280">
        <f>H448*Conversions!$D$67</f>
        <v>0.010300360199961963</v>
      </c>
      <c r="G448" s="281">
        <f t="shared" si="73"/>
        <v>0.1010049353780263</v>
      </c>
      <c r="H448" s="282">
        <f>C448*Conversions!$B$50</f>
        <v>10.10049353780263</v>
      </c>
      <c r="K448">
        <f t="shared" si="74"/>
        <v>2</v>
      </c>
    </row>
    <row r="449" spans="1:11" ht="15">
      <c r="A449" s="639">
        <f t="shared" si="72"/>
        <v>102000</v>
      </c>
      <c r="B449" s="640">
        <f t="shared" si="76"/>
        <v>30600</v>
      </c>
      <c r="C449" s="573">
        <f t="shared" si="75"/>
        <v>0.2937550211293492</v>
      </c>
      <c r="D449" s="278">
        <f>C449*Conversions!$B$53</f>
        <v>7.461377497415063</v>
      </c>
      <c r="E449" s="279">
        <f>C449*Conversions!$B$59</f>
        <v>0.14427947855527862</v>
      </c>
      <c r="F449" s="280">
        <f>H449*Conversions!$D$67</f>
        <v>0.010144528115893402</v>
      </c>
      <c r="G449" s="281">
        <f t="shared" si="73"/>
        <v>0.09947685196389226</v>
      </c>
      <c r="H449" s="282">
        <f>C449*Conversions!$B$50</f>
        <v>9.947685196389227</v>
      </c>
      <c r="K449">
        <f t="shared" si="74"/>
        <v>2</v>
      </c>
    </row>
    <row r="450" spans="1:11" ht="15">
      <c r="A450" s="639">
        <f t="shared" si="72"/>
        <v>102333.33333333334</v>
      </c>
      <c r="B450" s="640">
        <f t="shared" si="76"/>
        <v>30700</v>
      </c>
      <c r="C450" s="573">
        <f t="shared" si="75"/>
        <v>0.28931282745659975</v>
      </c>
      <c r="D450" s="278">
        <f>C450*Conversions!$B$53</f>
        <v>7.3485457787210775</v>
      </c>
      <c r="E450" s="279">
        <f>C450*Conversions!$B$59</f>
        <v>0.14209766942642757</v>
      </c>
      <c r="F450" s="280">
        <f>H450*Conversions!$D$67</f>
        <v>0.00999112151730591</v>
      </c>
      <c r="G450" s="281">
        <f t="shared" si="73"/>
        <v>0.09797255276696226</v>
      </c>
      <c r="H450" s="282">
        <f>C450*Conversions!$B$50</f>
        <v>9.797255276696227</v>
      </c>
      <c r="K450">
        <f t="shared" si="74"/>
        <v>2</v>
      </c>
    </row>
    <row r="451" spans="1:11" ht="15">
      <c r="A451" s="639">
        <f t="shared" si="72"/>
        <v>102666.66666666667</v>
      </c>
      <c r="B451" s="640">
        <f t="shared" si="76"/>
        <v>30800</v>
      </c>
      <c r="C451" s="573">
        <f t="shared" si="75"/>
        <v>0.2849397447713736</v>
      </c>
      <c r="D451" s="278">
        <f>C451*Conversions!$B$53</f>
        <v>7.2374694791009455</v>
      </c>
      <c r="E451" s="279">
        <f>C451*Conversions!$B$59</f>
        <v>0.13994980455903616</v>
      </c>
      <c r="F451" s="280">
        <f>H451*Conversions!$D$67</f>
        <v>0.009840101595730276</v>
      </c>
      <c r="G451" s="281">
        <f t="shared" si="73"/>
        <v>0.09649165723288203</v>
      </c>
      <c r="H451" s="282">
        <f>C451*Conversions!$B$50</f>
        <v>9.649165723288203</v>
      </c>
      <c r="K451">
        <f t="shared" si="74"/>
        <v>2</v>
      </c>
    </row>
    <row r="452" spans="1:11" ht="15">
      <c r="A452" s="639">
        <f t="shared" si="72"/>
        <v>103000</v>
      </c>
      <c r="B452" s="640">
        <f t="shared" si="76"/>
        <v>30900</v>
      </c>
      <c r="C452" s="573">
        <f t="shared" si="75"/>
        <v>0.2806346677669046</v>
      </c>
      <c r="D452" s="278">
        <f>C452*Conversions!$B$53</f>
        <v>7.128120523762954</v>
      </c>
      <c r="E452" s="279">
        <f>C452*Conversions!$B$59</f>
        <v>0.13783534107528994</v>
      </c>
      <c r="F452" s="280">
        <f>H452*Conversions!$D$67</f>
        <v>0.009691430180531922</v>
      </c>
      <c r="G452" s="281">
        <f t="shared" si="73"/>
        <v>0.0950337910618791</v>
      </c>
      <c r="H452" s="282">
        <f>C452*Conversions!$B$50</f>
        <v>9.50337910618791</v>
      </c>
      <c r="K452">
        <f t="shared" si="74"/>
        <v>2</v>
      </c>
    </row>
    <row r="453" spans="1:11" ht="15">
      <c r="A453" s="639">
        <f t="shared" si="72"/>
        <v>103333.33333333334</v>
      </c>
      <c r="B453" s="640">
        <f t="shared" si="76"/>
        <v>31000</v>
      </c>
      <c r="C453" s="573">
        <f t="shared" si="75"/>
        <v>0.2763965092946189</v>
      </c>
      <c r="D453" s="278">
        <f>C453*Conversions!$B$53</f>
        <v>7.0204712991334715</v>
      </c>
      <c r="E453" s="279">
        <f>C453*Conversions!$B$59</f>
        <v>0.13575374501587564</v>
      </c>
      <c r="F453" s="280">
        <f>H453*Conversions!$D$67</f>
        <v>0.009545069728150812</v>
      </c>
      <c r="G453" s="281">
        <f t="shared" si="73"/>
        <v>0.09359858610324986</v>
      </c>
      <c r="H453" s="282">
        <f>C453*Conversions!$B$50</f>
        <v>9.359858610324986</v>
      </c>
      <c r="K453">
        <f t="shared" si="74"/>
        <v>2</v>
      </c>
    </row>
    <row r="454" spans="1:11" ht="15">
      <c r="A454" s="639">
        <f t="shared" si="72"/>
        <v>103666.66666666667</v>
      </c>
      <c r="B454" s="640">
        <f t="shared" si="76"/>
        <v>31100</v>
      </c>
      <c r="C454" s="573">
        <f t="shared" si="75"/>
        <v>0.2722242000579394</v>
      </c>
      <c r="D454" s="278">
        <f>C454*Conversions!$B$53</f>
        <v>6.914494645079584</v>
      </c>
      <c r="E454" s="279">
        <f>C454*Conversions!$B$59</f>
        <v>0.13370449118959152</v>
      </c>
      <c r="F454" s="280">
        <f>H454*Conversions!$D$67</f>
        <v>0.009400983311527285</v>
      </c>
      <c r="G454" s="281">
        <f t="shared" si="73"/>
        <v>0.0921856802516696</v>
      </c>
      <c r="H454" s="282">
        <f>C454*Conversions!$B$50</f>
        <v>9.21856802516696</v>
      </c>
      <c r="K454">
        <f t="shared" si="74"/>
        <v>2</v>
      </c>
    </row>
    <row r="455" spans="1:11" ht="15">
      <c r="A455" s="639">
        <f t="shared" si="72"/>
        <v>104000</v>
      </c>
      <c r="B455" s="640">
        <f t="shared" si="76"/>
        <v>31200</v>
      </c>
      <c r="C455" s="573">
        <f t="shared" si="75"/>
        <v>0.2681166883113735</v>
      </c>
      <c r="D455" s="278">
        <f>C455*Conversions!$B$53</f>
        <v>6.810163847265919</v>
      </c>
      <c r="E455" s="279">
        <f>C455*Conversions!$B$59</f>
        <v>0.13168706302555255</v>
      </c>
      <c r="F455" s="280">
        <f>H455*Conversions!$D$67</f>
        <v>0.009259134609710363</v>
      </c>
      <c r="G455" s="281">
        <f t="shared" si="73"/>
        <v>0.090794717345292</v>
      </c>
      <c r="H455" s="282">
        <f>C455*Conversions!$B$50</f>
        <v>9.0794717345292</v>
      </c>
      <c r="K455">
        <f t="shared" si="74"/>
        <v>2</v>
      </c>
    </row>
    <row r="456" spans="1:11" ht="15">
      <c r="A456" s="639">
        <f t="shared" si="72"/>
        <v>104333.33333333334</v>
      </c>
      <c r="B456" s="640">
        <f t="shared" si="76"/>
        <v>31300</v>
      </c>
      <c r="C456" s="573">
        <f t="shared" si="75"/>
        <v>0.264072939564822</v>
      </c>
      <c r="D456" s="278">
        <f>C456*Conversions!$B$53</f>
        <v>6.707452629644096</v>
      </c>
      <c r="E456" s="279">
        <f>C456*Conversions!$B$59</f>
        <v>0.12970095242796004</v>
      </c>
      <c r="F456" s="280">
        <f>H456*Conversions!$D$67</f>
        <v>0.009119487897646378</v>
      </c>
      <c r="G456" s="281">
        <f t="shared" si="73"/>
        <v>0.08942534706561686</v>
      </c>
      <c r="H456" s="282">
        <f>C456*Conversions!$B$50</f>
        <v>8.942534706561686</v>
      </c>
      <c r="K456">
        <f t="shared" si="74"/>
        <v>2</v>
      </c>
    </row>
    <row r="457" spans="1:11" ht="15">
      <c r="A457" s="644">
        <f t="shared" si="72"/>
        <v>104666.66666666667</v>
      </c>
      <c r="B457" s="645">
        <f t="shared" si="76"/>
        <v>31400</v>
      </c>
      <c r="C457" s="658">
        <f t="shared" si="75"/>
        <v>0.2600919362929908</v>
      </c>
      <c r="D457" s="646">
        <f>C457*Conversions!$B$53</f>
        <v>6.606335147071782</v>
      </c>
      <c r="E457" s="647">
        <f>C457*Conversions!$B$59</f>
        <v>0.1277456596333775</v>
      </c>
      <c r="F457" s="648">
        <f>H457*Conversions!$D$67</f>
        <v>0.008982008036143782</v>
      </c>
      <c r="G457" s="649">
        <f t="shared" si="73"/>
        <v>0.08807722483908531</v>
      </c>
      <c r="H457" s="650">
        <f>C457*Conversions!$B$50</f>
        <v>8.807722483908531</v>
      </c>
      <c r="I457" s="578"/>
      <c r="J457" s="651"/>
      <c r="K457" s="652">
        <f t="shared" si="74"/>
        <v>2</v>
      </c>
    </row>
    <row r="458" spans="1:12" ht="15">
      <c r="A458" s="653">
        <f t="shared" si="72"/>
        <v>105000</v>
      </c>
      <c r="B458" s="654">
        <f t="shared" si="76"/>
        <v>31500</v>
      </c>
      <c r="C458" s="576">
        <f>C$21*((D$21/(D$21+(E$21*(A458-B$21))))^((G$18*H$18)/(F$18*E$21)))</f>
        <v>0.2561729287863446</v>
      </c>
      <c r="D458" s="573">
        <f>C458*Conversions!$B$53</f>
        <v>6.506792356926878</v>
      </c>
      <c r="E458" s="380">
        <f>C458*Conversions!$B$59</f>
        <v>0.12582081641762816</v>
      </c>
      <c r="F458" s="655">
        <f>H458*Conversions!$D$67</f>
        <v>0.008846669134753349</v>
      </c>
      <c r="G458" s="656">
        <f t="shared" si="73"/>
        <v>0.08675009678494947</v>
      </c>
      <c r="H458" s="574">
        <f>C458*Conversions!$B$50</f>
        <v>8.675009678494947</v>
      </c>
      <c r="K458" s="657">
        <f>K457+1</f>
        <v>3</v>
      </c>
      <c r="L458" s="420" t="s">
        <v>328</v>
      </c>
    </row>
    <row r="459" spans="1:11" ht="15">
      <c r="A459" s="639">
        <f t="shared" si="72"/>
        <v>105333.33333333334</v>
      </c>
      <c r="B459" s="640">
        <f t="shared" si="76"/>
        <v>31600</v>
      </c>
      <c r="C459" s="576">
        <f aca="true" t="shared" si="77" ref="C459:C522">C$21*((D$21/(D$21+(E$21*(A459-B$21))))^((G$18*H$18)/(F$18*E$21)))</f>
        <v>0.2523160766514496</v>
      </c>
      <c r="D459" s="278">
        <f>C459*Conversions!$B$53</f>
        <v>6.408828313216145</v>
      </c>
      <c r="E459" s="279">
        <f>C459*Conversions!$B$59</f>
        <v>0.12392650117240062</v>
      </c>
      <c r="F459" s="280">
        <f>H459*Conversions!$D$67</f>
        <v>0.008713476705324005</v>
      </c>
      <c r="G459" s="281">
        <f t="shared" si="73"/>
        <v>0.08544401695218762</v>
      </c>
      <c r="H459" s="282">
        <f>C459*Conversions!$B$50</f>
        <v>8.544401695218761</v>
      </c>
      <c r="J459" s="517">
        <v>0</v>
      </c>
      <c r="K459">
        <f t="shared" si="74"/>
        <v>3</v>
      </c>
    </row>
    <row r="460" spans="1:11" ht="15">
      <c r="A460" s="639">
        <f t="shared" si="72"/>
        <v>105666.66666666667</v>
      </c>
      <c r="B460" s="640">
        <f t="shared" si="76"/>
        <v>31700</v>
      </c>
      <c r="C460" s="576">
        <f t="shared" si="77"/>
        <v>0.24852197362822173</v>
      </c>
      <c r="D460" s="278">
        <f>C460*Conversions!$B$53</f>
        <v>6.312458096933368</v>
      </c>
      <c r="E460" s="279">
        <f>C460*Conversions!$B$59</f>
        <v>0.1220630055164905</v>
      </c>
      <c r="F460" s="280">
        <f>H460*Conversions!$D$67</f>
        <v>0.008582451252054278</v>
      </c>
      <c r="G460" s="281">
        <f t="shared" si="73"/>
        <v>0.08415918640418074</v>
      </c>
      <c r="H460" s="282">
        <f>C460*Conversions!$B$50</f>
        <v>8.415918640418074</v>
      </c>
      <c r="J460" s="517">
        <v>36089</v>
      </c>
      <c r="K460">
        <f t="shared" si="74"/>
        <v>3</v>
      </c>
    </row>
    <row r="461" spans="1:11" ht="15">
      <c r="A461" s="639">
        <f t="shared" si="72"/>
        <v>106000</v>
      </c>
      <c r="B461" s="640">
        <f t="shared" si="76"/>
        <v>31800</v>
      </c>
      <c r="C461" s="576">
        <f t="shared" si="77"/>
        <v>0.24478952283842298</v>
      </c>
      <c r="D461" s="278">
        <f>C461*Conversions!$B$53</f>
        <v>6.21765384737145</v>
      </c>
      <c r="E461" s="279">
        <f>C461*Conversions!$B$59</f>
        <v>0.12022979071180372</v>
      </c>
      <c r="F461" s="280">
        <f>H461*Conversions!$D$67</f>
        <v>0.00845355489538016</v>
      </c>
      <c r="G461" s="281">
        <f t="shared" si="73"/>
        <v>0.0828952336953832</v>
      </c>
      <c r="H461" s="282">
        <f>C461*Conversions!$B$50</f>
        <v>8.289523369538319</v>
      </c>
      <c r="J461" s="517">
        <v>65617</v>
      </c>
      <c r="K461">
        <f t="shared" si="74"/>
        <v>3</v>
      </c>
    </row>
    <row r="462" spans="1:11" ht="15">
      <c r="A462" s="639">
        <f t="shared" si="72"/>
        <v>106333.33333333334</v>
      </c>
      <c r="B462" s="640">
        <f t="shared" si="76"/>
        <v>31900</v>
      </c>
      <c r="C462" s="576">
        <f t="shared" si="77"/>
        <v>0.24111764790256407</v>
      </c>
      <c r="D462" s="278">
        <f>C462*Conversions!$B$53</f>
        <v>6.124388224491505</v>
      </c>
      <c r="E462" s="279">
        <f>C462*Conversions!$B$59</f>
        <v>0.1184263280883252</v>
      </c>
      <c r="F462" s="280">
        <f>H462*Conversions!$D$67</f>
        <v>0.008326750463640887</v>
      </c>
      <c r="G462" s="281">
        <f t="shared" si="73"/>
        <v>0.0816517943219213</v>
      </c>
      <c r="H462" s="282">
        <f>C462*Conversions!$B$50</f>
        <v>8.16517943219213</v>
      </c>
      <c r="I462" s="79" t="str">
        <f>CONCATENATE("L",M139,"/F",N139)</f>
        <v>L3/F1</v>
      </c>
      <c r="J462" s="642">
        <v>104987</v>
      </c>
      <c r="K462">
        <f t="shared" si="74"/>
        <v>3</v>
      </c>
    </row>
    <row r="463" spans="1:11" ht="15">
      <c r="A463" s="639">
        <f t="shared" si="72"/>
        <v>106666.66666666667</v>
      </c>
      <c r="B463" s="640">
        <f t="shared" si="76"/>
        <v>32000</v>
      </c>
      <c r="C463" s="576">
        <f t="shared" si="77"/>
        <v>0.237505292532118</v>
      </c>
      <c r="D463" s="278">
        <f>C463*Conversions!$B$53</f>
        <v>6.03263439856509</v>
      </c>
      <c r="E463" s="279">
        <f>C463*Conversions!$B$59</f>
        <v>0.1166520988438323</v>
      </c>
      <c r="F463" s="280">
        <f>H463*Conversions!$D$67</f>
        <v>0.00820200147899646</v>
      </c>
      <c r="G463" s="281">
        <f t="shared" si="73"/>
        <v>0.08042851058350102</v>
      </c>
      <c r="H463" s="282">
        <f>C463*Conversions!$B$50</f>
        <v>8.042851058350102</v>
      </c>
      <c r="J463" s="642">
        <v>154199</v>
      </c>
      <c r="K463">
        <f t="shared" si="74"/>
        <v>3</v>
      </c>
    </row>
    <row r="464" spans="1:11" ht="15">
      <c r="A464" s="639">
        <f t="shared" si="72"/>
        <v>107000</v>
      </c>
      <c r="B464" s="640">
        <f t="shared" si="76"/>
        <v>32100</v>
      </c>
      <c r="C464" s="576">
        <f t="shared" si="77"/>
        <v>0.23395142013033807</v>
      </c>
      <c r="D464" s="278">
        <f>C464*Conversions!$B$53</f>
        <v>5.942366040034977</v>
      </c>
      <c r="E464" s="279">
        <f>C464*Conversions!$B$59</f>
        <v>0.11490659384783422</v>
      </c>
      <c r="F464" s="280">
        <f>H464*Conversions!$D$67</f>
        <v>0.008079272143642293</v>
      </c>
      <c r="G464" s="281">
        <f t="shared" si="73"/>
        <v>0.07922503144822947</v>
      </c>
      <c r="H464" s="282">
        <f>C464*Conversions!$B$50</f>
        <v>7.922503144822947</v>
      </c>
      <c r="J464" s="517">
        <v>167323</v>
      </c>
      <c r="K464">
        <f t="shared" si="74"/>
        <v>3</v>
      </c>
    </row>
    <row r="465" spans="1:11" ht="15">
      <c r="A465" s="639">
        <f aca="true" t="shared" si="78" ref="A465:A528">B465*(1/0.3)</f>
        <v>107333.33333333334</v>
      </c>
      <c r="B465" s="640">
        <f t="shared" si="76"/>
        <v>32200</v>
      </c>
      <c r="C465" s="576">
        <f t="shared" si="77"/>
        <v>0.2304550134014862</v>
      </c>
      <c r="D465" s="278">
        <f>C465*Conversions!$B$53</f>
        <v>5.8535573095895534</v>
      </c>
      <c r="E465" s="279">
        <f>C465*Conversions!$B$59</f>
        <v>0.1131893134496422</v>
      </c>
      <c r="F465" s="280">
        <f>H465*Conversions!$D$67</f>
        <v>0.007958527326314324</v>
      </c>
      <c r="G465" s="281">
        <f aca="true" t="shared" si="79" ref="G465:G528">H465/100</f>
        <v>0.0780410124202844</v>
      </c>
      <c r="H465" s="282">
        <f>C465*Conversions!$B$50</f>
        <v>7.80410124202844</v>
      </c>
      <c r="J465" s="506">
        <v>232940</v>
      </c>
      <c r="K465">
        <f aca="true" t="shared" si="80" ref="K465:K528">K464</f>
        <v>3</v>
      </c>
    </row>
    <row r="466" spans="1:11" ht="15">
      <c r="A466" s="639">
        <f t="shared" si="78"/>
        <v>107666.66666666667</v>
      </c>
      <c r="B466" s="640">
        <f t="shared" si="76"/>
        <v>32300</v>
      </c>
      <c r="C466" s="576">
        <f t="shared" si="77"/>
        <v>0.22701507396828133</v>
      </c>
      <c r="D466" s="278">
        <f>C466*Conversions!$B$53</f>
        <v>5.766182848446015</v>
      </c>
      <c r="E466" s="279">
        <f>C466*Conversions!$B$59</f>
        <v>0.11149976729047716</v>
      </c>
      <c r="F466" s="280">
        <f>H466*Conversions!$D$67</f>
        <v>0.007839732549077987</v>
      </c>
      <c r="G466" s="281">
        <f t="shared" si="79"/>
        <v>0.07687611541036744</v>
      </c>
      <c r="H466" s="282">
        <f>C466*Conversions!$B$50</f>
        <v>7.687611541036744</v>
      </c>
      <c r="J466" s="535">
        <v>280001</v>
      </c>
      <c r="K466">
        <f t="shared" si="80"/>
        <v>3</v>
      </c>
    </row>
    <row r="467" spans="1:11" ht="15">
      <c r="A467" s="639">
        <f t="shared" si="78"/>
        <v>108000</v>
      </c>
      <c r="B467" s="640">
        <f t="shared" si="76"/>
        <v>32400</v>
      </c>
      <c r="C467" s="576">
        <f t="shared" si="77"/>
        <v>0.22363062199739386</v>
      </c>
      <c r="D467" s="278">
        <f>C467*Conversions!$B$53</f>
        <v>5.680217768837921</v>
      </c>
      <c r="E467" s="279">
        <f>C467*Conversions!$B$59</f>
        <v>0.10983747411952906</v>
      </c>
      <c r="F467" s="280">
        <f>H467*Conversions!$D$67</f>
        <v>0.007722853974395033</v>
      </c>
      <c r="G467" s="281">
        <f t="shared" si="79"/>
        <v>0.07573000860888189</v>
      </c>
      <c r="H467" s="282">
        <f>C467*Conversions!$B$50</f>
        <v>7.57300086088819</v>
      </c>
      <c r="K467">
        <f t="shared" si="80"/>
        <v>3</v>
      </c>
    </row>
    <row r="468" spans="1:11" ht="15">
      <c r="A468" s="639">
        <f t="shared" si="78"/>
        <v>108333.33333333334</v>
      </c>
      <c r="B468" s="640">
        <f t="shared" si="76"/>
        <v>32500</v>
      </c>
      <c r="C468" s="576">
        <f t="shared" si="77"/>
        <v>0.2203006958327944</v>
      </c>
      <c r="D468" s="278">
        <f>C468*Conversions!$B$53</f>
        <v>5.595637644702254</v>
      </c>
      <c r="E468" s="279">
        <f>C468*Conversions!$B$59</f>
        <v>0.1082019616138741</v>
      </c>
      <c r="F468" s="280">
        <f>H468*Conversions!$D$67</f>
        <v>0.007607858392461631</v>
      </c>
      <c r="G468" s="281">
        <f t="shared" si="79"/>
        <v>0.0746023663617705</v>
      </c>
      <c r="H468" s="282">
        <f>C468*Conversions!$B$50</f>
        <v>7.460236636177051</v>
      </c>
      <c r="K468">
        <f t="shared" si="80"/>
        <v>3</v>
      </c>
    </row>
    <row r="469" spans="1:11" ht="15">
      <c r="A469" s="639">
        <f t="shared" si="78"/>
        <v>108666.66666666667</v>
      </c>
      <c r="B469" s="640">
        <f t="shared" si="76"/>
        <v>32600</v>
      </c>
      <c r="C469" s="576">
        <f t="shared" si="77"/>
        <v>0.21702435163679884</v>
      </c>
      <c r="D469" s="278">
        <f>C469*Conversions!$B$53</f>
        <v>5.512418502561962</v>
      </c>
      <c r="E469" s="279">
        <f>C469*Conversions!$B$59</f>
        <v>0.10659276620217183</v>
      </c>
      <c r="F469" s="280">
        <f>H469*Conversions!$D$67</f>
        <v>0.007494713208812206</v>
      </c>
      <c r="G469" s="281">
        <f t="shared" si="79"/>
        <v>0.07349286904895931</v>
      </c>
      <c r="H469" s="282">
        <f>C469*Conversions!$B$50</f>
        <v>7.349286904895932</v>
      </c>
      <c r="K469">
        <f t="shared" si="80"/>
        <v>3</v>
      </c>
    </row>
    <row r="470" spans="1:11" ht="15">
      <c r="A470" s="639">
        <f t="shared" si="78"/>
        <v>109000</v>
      </c>
      <c r="B470" s="640">
        <f t="shared" si="76"/>
        <v>32700</v>
      </c>
      <c r="C470" s="576">
        <f t="shared" si="77"/>
        <v>0.21380066303862091</v>
      </c>
      <c r="D470" s="278">
        <f>C470*Conversions!$B$53</f>
        <v>5.430536812599199</v>
      </c>
      <c r="E470" s="279">
        <f>C470*Conversions!$B$59</f>
        <v>0.10500943289204977</v>
      </c>
      <c r="F470" s="280">
        <f>H470*Conversions!$D$67</f>
        <v>0.007383386432182571</v>
      </c>
      <c r="G470" s="281">
        <f t="shared" si="79"/>
        <v>0.07240120296534393</v>
      </c>
      <c r="H470" s="282">
        <f>C470*Conversions!$B$50</f>
        <v>7.240120296534393</v>
      </c>
      <c r="K470">
        <f t="shared" si="80"/>
        <v>3</v>
      </c>
    </row>
    <row r="471" spans="1:11" ht="15">
      <c r="A471" s="639">
        <f t="shared" si="78"/>
        <v>109333.33333333334</v>
      </c>
      <c r="B471" s="640">
        <f t="shared" si="76"/>
        <v>32800</v>
      </c>
      <c r="C471" s="576">
        <f t="shared" si="77"/>
        <v>0.2106287207902838</v>
      </c>
      <c r="D471" s="278">
        <f>C471*Conversions!$B$53</f>
        <v>5.349969479915475</v>
      </c>
      <c r="E471" s="279">
        <f>C471*Conversions!$B$59</f>
        <v>0.10345151510110238</v>
      </c>
      <c r="F471" s="280">
        <f>H471*Conversions!$D$67</f>
        <v>0.007273846662627186</v>
      </c>
      <c r="G471" s="281">
        <f t="shared" si="79"/>
        <v>0.07132706020426782</v>
      </c>
      <c r="H471" s="282">
        <f>C471*Conversions!$B$50</f>
        <v>7.132706020426783</v>
      </c>
      <c r="K471">
        <f t="shared" si="80"/>
        <v>3</v>
      </c>
    </row>
    <row r="472" spans="1:11" ht="15">
      <c r="A472" s="639">
        <f t="shared" si="78"/>
        <v>109666.66666666667</v>
      </c>
      <c r="B472" s="640">
        <f t="shared" si="76"/>
        <v>32900</v>
      </c>
      <c r="C472" s="576">
        <f t="shared" si="77"/>
        <v>0.20750763242971348</v>
      </c>
      <c r="D472" s="278">
        <f>C472*Conversions!$B$53</f>
        <v>5.270693835974229</v>
      </c>
      <c r="E472" s="279">
        <f>C472*Conversions!$B$59</f>
        <v>0.10191857449141745</v>
      </c>
      <c r="F472" s="280">
        <f>H472*Conversions!$D$67</f>
        <v>0.007166063079884436</v>
      </c>
      <c r="G472" s="281">
        <f t="shared" si="79"/>
        <v>0.07027013854343273</v>
      </c>
      <c r="H472" s="282">
        <f>C472*Conversions!$B$50</f>
        <v>7.027013854343273</v>
      </c>
      <c r="K472">
        <f t="shared" si="80"/>
        <v>3</v>
      </c>
    </row>
    <row r="473" spans="1:11" ht="15">
      <c r="A473" s="639">
        <f t="shared" si="78"/>
        <v>110000</v>
      </c>
      <c r="B473" s="640">
        <f t="shared" si="76"/>
        <v>33000</v>
      </c>
      <c r="C473" s="576">
        <f t="shared" si="77"/>
        <v>0.20443652195086554</v>
      </c>
      <c r="D473" s="278">
        <f>C473*Conversions!$B$53</f>
        <v>5.19268763022205</v>
      </c>
      <c r="E473" s="279">
        <f>C473*Conversions!$B$59</f>
        <v>0.1004101808075569</v>
      </c>
      <c r="F473" s="280">
        <f>H473*Conversions!$D$67</f>
        <v>0.007060005431984797</v>
      </c>
      <c r="G473" s="281">
        <f t="shared" si="79"/>
        <v>0.06923014133319069</v>
      </c>
      <c r="H473" s="282">
        <f>C473*Conversions!$B$50</f>
        <v>6.923014133319069</v>
      </c>
      <c r="K473">
        <f t="shared" si="80"/>
        <v>3</v>
      </c>
    </row>
    <row r="474" spans="1:11" ht="15">
      <c r="A474" s="639">
        <f t="shared" si="78"/>
        <v>110333.33333333334</v>
      </c>
      <c r="B474" s="640">
        <f aca="true" t="shared" si="81" ref="B474:B537">B473+100</f>
        <v>33100</v>
      </c>
      <c r="C474" s="576">
        <f t="shared" si="77"/>
        <v>0.20141452948072472</v>
      </c>
      <c r="D474" s="278">
        <f>C474*Conversions!$B$53</f>
        <v>5.115929021884466</v>
      </c>
      <c r="E474" s="279">
        <f>C474*Conversions!$B$59</f>
        <v>0.0989259117179133</v>
      </c>
      <c r="F474" s="280">
        <f>H474*Conversions!$D$67</f>
        <v>0.006955644024096342</v>
      </c>
      <c r="G474" s="281">
        <f t="shared" si="79"/>
        <v>0.06820677738716362</v>
      </c>
      <c r="H474" s="282">
        <f>C474*Conversions!$B$50</f>
        <v>6.820677738716362</v>
      </c>
      <c r="K474">
        <f t="shared" si="80"/>
        <v>3</v>
      </c>
    </row>
    <row r="475" spans="1:11" ht="15">
      <c r="A475" s="639">
        <f t="shared" si="78"/>
        <v>110666.66666666667</v>
      </c>
      <c r="B475" s="640">
        <f t="shared" si="81"/>
        <v>33200</v>
      </c>
      <c r="C475" s="576">
        <f t="shared" si="77"/>
        <v>0.19844081096302787</v>
      </c>
      <c r="D475" s="278">
        <f>C475*Conversions!$B$53</f>
        <v>5.040396571932505</v>
      </c>
      <c r="E475" s="279">
        <f>C475*Conversions!$B$59</f>
        <v>0.09746535265936854</v>
      </c>
      <c r="F475" s="280">
        <f>H475*Conversions!$D$67</f>
        <v>0.006852949707602446</v>
      </c>
      <c r="G475" s="281">
        <f t="shared" si="79"/>
        <v>0.06719976087513962</v>
      </c>
      <c r="H475" s="282">
        <f>C475*Conversions!$B$50</f>
        <v>6.719976087513962</v>
      </c>
      <c r="K475">
        <f t="shared" si="80"/>
        <v>3</v>
      </c>
    </row>
    <row r="476" spans="1:11" ht="15">
      <c r="A476" s="639">
        <f t="shared" si="78"/>
        <v>111000</v>
      </c>
      <c r="B476" s="640">
        <f t="shared" si="81"/>
        <v>33300</v>
      </c>
      <c r="C476" s="576">
        <f t="shared" si="77"/>
        <v>0.19551453784856243</v>
      </c>
      <c r="D476" s="278">
        <f>C476*Conversions!$B$53</f>
        <v>4.966069235216279</v>
      </c>
      <c r="E476" s="279">
        <f>C476*Conversions!$B$59</f>
        <v>0.09602809668518215</v>
      </c>
      <c r="F476" s="280">
        <f>H476*Conversions!$D$67</f>
        <v>0.0067518938694065556</v>
      </c>
      <c r="G476" s="281">
        <f t="shared" si="79"/>
        <v>0.06620881121819598</v>
      </c>
      <c r="H476" s="282">
        <f>C476*Conversions!$B$50</f>
        <v>6.620881121819599</v>
      </c>
      <c r="K476">
        <f t="shared" si="80"/>
        <v>3</v>
      </c>
    </row>
    <row r="477" spans="1:11" ht="15">
      <c r="A477" s="639">
        <f t="shared" si="78"/>
        <v>111333.33333333334</v>
      </c>
      <c r="B477" s="640">
        <f t="shared" si="81"/>
        <v>33400</v>
      </c>
      <c r="C477" s="576">
        <f t="shared" si="77"/>
        <v>0.19263489679189344</v>
      </c>
      <c r="D477" s="278">
        <f>C477*Conversions!$B$53</f>
        <v>4.89292635276185</v>
      </c>
      <c r="E477" s="279">
        <f>C477*Conversions!$B$59</f>
        <v>0.09461374431603703</v>
      </c>
      <c r="F477" s="280">
        <f>H477*Conversions!$D$67</f>
        <v>0.006652448421458974</v>
      </c>
      <c r="G477" s="281">
        <f t="shared" si="79"/>
        <v>0.06523365298599926</v>
      </c>
      <c r="H477" s="282">
        <f>C477*Conversions!$B$50</f>
        <v>6.523365298599926</v>
      </c>
      <c r="K477">
        <f t="shared" si="80"/>
        <v>3</v>
      </c>
    </row>
    <row r="478" spans="1:11" ht="15">
      <c r="A478" s="639">
        <f t="shared" si="78"/>
        <v>111666.66666666667</v>
      </c>
      <c r="B478" s="640">
        <f t="shared" si="81"/>
        <v>33500</v>
      </c>
      <c r="C478" s="576">
        <f t="shared" si="77"/>
        <v>0.18980108935438456</v>
      </c>
      <c r="D478" s="278">
        <f>C478*Conversions!$B$53</f>
        <v>4.820947644227959</v>
      </c>
      <c r="E478" s="279">
        <f>C478*Conversions!$B$59</f>
        <v>0.09322190339417642</v>
      </c>
      <c r="F478" s="280">
        <f>H478*Conversions!$D$67</f>
        <v>0.006554585790500988</v>
      </c>
      <c r="G478" s="281">
        <f t="shared" si="79"/>
        <v>0.06427401579623657</v>
      </c>
      <c r="H478" s="282">
        <f>C478*Conversions!$B$50</f>
        <v>6.427401579623657</v>
      </c>
      <c r="K478">
        <f t="shared" si="80"/>
        <v>3</v>
      </c>
    </row>
    <row r="479" spans="1:11" ht="15">
      <c r="A479" s="639">
        <f t="shared" si="78"/>
        <v>112000</v>
      </c>
      <c r="B479" s="640">
        <f t="shared" si="81"/>
        <v>33600</v>
      </c>
      <c r="C479" s="576">
        <f t="shared" si="77"/>
        <v>0.18701233171336612</v>
      </c>
      <c r="D479" s="278">
        <f>C479*Conversions!$B$53</f>
        <v>4.7501132005189035</v>
      </c>
      <c r="E479" s="279">
        <f>C479*Conversions!$B$59</f>
        <v>0.09185218894056027</v>
      </c>
      <c r="F479" s="280">
        <f>H479*Conversions!$D$67</f>
        <v>0.006458278908021295</v>
      </c>
      <c r="G479" s="281">
        <f t="shared" si="79"/>
        <v>0.06332963421612868</v>
      </c>
      <c r="H479" s="282">
        <f>C479*Conversions!$B$50</f>
        <v>6.332963421612868</v>
      </c>
      <c r="K479">
        <f t="shared" si="80"/>
        <v>3</v>
      </c>
    </row>
    <row r="480" spans="1:11" ht="15">
      <c r="A480" s="639">
        <f t="shared" si="78"/>
        <v>112333.33333333334</v>
      </c>
      <c r="B480" s="640">
        <f t="shared" si="81"/>
        <v>33700</v>
      </c>
      <c r="C480" s="576">
        <f t="shared" si="77"/>
        <v>0.18426785437732265</v>
      </c>
      <c r="D480" s="278">
        <f>C480*Conversions!$B$53</f>
        <v>4.6804034765502935</v>
      </c>
      <c r="E480" s="279">
        <f>C480*Conversions!$B$59</f>
        <v>0.09050422301497776</v>
      </c>
      <c r="F480" s="280">
        <f>H480*Conversions!$D$67</f>
        <v>0.006363501200420289</v>
      </c>
      <c r="G480" s="281">
        <f t="shared" si="79"/>
        <v>0.06240024766598138</v>
      </c>
      <c r="H480" s="282">
        <f>C480*Conversions!$B$50</f>
        <v>6.240024766598138</v>
      </c>
      <c r="K480">
        <f t="shared" si="80"/>
        <v>3</v>
      </c>
    </row>
    <row r="481" spans="1:11" ht="15">
      <c r="A481" s="639">
        <f t="shared" si="78"/>
        <v>112666.66666666667</v>
      </c>
      <c r="B481" s="640">
        <f t="shared" si="81"/>
        <v>33800</v>
      </c>
      <c r="C481" s="576">
        <f t="shared" si="77"/>
        <v>0.18156690190696576</v>
      </c>
      <c r="D481" s="278">
        <f>C481*Conversions!$B$53</f>
        <v>4.611799284164302</v>
      </c>
      <c r="E481" s="279">
        <f>C481*Conversions!$B$59</f>
        <v>0.08917763457905077</v>
      </c>
      <c r="F481" s="280">
        <f>H481*Conversions!$D$67</f>
        <v>0.006270226579377598</v>
      </c>
      <c r="G481" s="281">
        <f t="shared" si="79"/>
        <v>0.061485600324729994</v>
      </c>
      <c r="H481" s="282">
        <f>C481*Conversions!$B$50</f>
        <v>6.148560032472999</v>
      </c>
      <c r="K481">
        <f t="shared" si="80"/>
        <v>3</v>
      </c>
    </row>
    <row r="482" spans="1:11" ht="15">
      <c r="A482" s="639">
        <f t="shared" si="78"/>
        <v>113000</v>
      </c>
      <c r="B482" s="640">
        <f t="shared" si="81"/>
        <v>33900</v>
      </c>
      <c r="C482" s="576">
        <f t="shared" si="77"/>
        <v>0.17890873264206306</v>
      </c>
      <c r="D482" s="278">
        <f>C482*Conversions!$B$53</f>
        <v>4.54428178519113</v>
      </c>
      <c r="E482" s="279">
        <f>C482*Conversions!$B$59</f>
        <v>0.08787205936206426</v>
      </c>
      <c r="F482" s="280">
        <f>H482*Conversions!$D$67</f>
        <v>0.0061784294324184145</v>
      </c>
      <c r="G482" s="281">
        <f t="shared" si="79"/>
        <v>0.06058544103743305</v>
      </c>
      <c r="H482" s="282">
        <f>C482*Conversions!$B$50</f>
        <v>6.058544103743305</v>
      </c>
      <c r="K482">
        <f t="shared" si="80"/>
        <v>3</v>
      </c>
    </row>
    <row r="483" spans="1:11" ht="15">
      <c r="A483" s="639">
        <f t="shared" si="78"/>
        <v>113333.33333333334</v>
      </c>
      <c r="B483" s="640">
        <f t="shared" si="81"/>
        <v>34000</v>
      </c>
      <c r="C483" s="576">
        <f t="shared" si="77"/>
        <v>0.17629261843389868</v>
      </c>
      <c r="D483" s="278">
        <f>C483*Conversions!$B$53</f>
        <v>4.477832484653487</v>
      </c>
      <c r="E483" s="279">
        <f>C483*Conversions!$B$59</f>
        <v>0.0865871397295627</v>
      </c>
      <c r="F483" s="280">
        <f>H483*Conversions!$D$67</f>
        <v>0.006088084613674275</v>
      </c>
      <c r="G483" s="281">
        <f t="shared" si="79"/>
        <v>0.05969952322467297</v>
      </c>
      <c r="H483" s="282">
        <f>C483*Conversions!$B$50</f>
        <v>5.9699523224672975</v>
      </c>
      <c r="K483">
        <f t="shared" si="80"/>
        <v>3</v>
      </c>
    </row>
    <row r="484" spans="1:11" ht="15">
      <c r="A484" s="639">
        <f t="shared" si="78"/>
        <v>113666.66666666667</v>
      </c>
      <c r="B484" s="640">
        <f t="shared" si="81"/>
        <v>34100</v>
      </c>
      <c r="C484" s="576">
        <f t="shared" si="77"/>
        <v>0.17371784438324503</v>
      </c>
      <c r="D484" s="278">
        <f>C484*Conversions!$B$53</f>
        <v>4.4124332241110915</v>
      </c>
      <c r="E484" s="279">
        <f>C484*Conversions!$B$59</f>
        <v>0.08532252455465342</v>
      </c>
      <c r="F484" s="280">
        <f>H484*Conversions!$D$67</f>
        <v>0.0059991674348342</v>
      </c>
      <c r="G484" s="281">
        <f t="shared" si="79"/>
        <v>0.0588276047938232</v>
      </c>
      <c r="H484" s="282">
        <f>C484*Conversions!$B$50</f>
        <v>5.88276047938232</v>
      </c>
      <c r="K484">
        <f t="shared" si="80"/>
        <v>3</v>
      </c>
    </row>
    <row r="485" spans="1:11" ht="15">
      <c r="A485" s="639">
        <f t="shared" si="78"/>
        <v>114000</v>
      </c>
      <c r="B485" s="640">
        <f t="shared" si="81"/>
        <v>34200</v>
      </c>
      <c r="C485" s="576">
        <f t="shared" si="77"/>
        <v>0.17118370858371737</v>
      </c>
      <c r="D485" s="278">
        <f>C485*Conversions!$B$53</f>
        <v>4.348066175141863</v>
      </c>
      <c r="E485" s="279">
        <f>C485*Conversions!$B$59</f>
        <v>0.0840778690919537</v>
      </c>
      <c r="F485" s="280">
        <f>H485*Conversions!$D$67</f>
        <v>0.005911653656281694</v>
      </c>
      <c r="G485" s="281">
        <f t="shared" si="79"/>
        <v>0.05796944805213806</v>
      </c>
      <c r="H485" s="282">
        <f>C485*Conversions!$B$50</f>
        <v>5.796944805213806</v>
      </c>
      <c r="K485">
        <f t="shared" si="80"/>
        <v>3</v>
      </c>
    </row>
    <row r="486" spans="1:11" ht="15">
      <c r="A486" s="639">
        <f t="shared" si="78"/>
        <v>114333.33333333334</v>
      </c>
      <c r="B486" s="640">
        <f t="shared" si="81"/>
        <v>34300</v>
      </c>
      <c r="C486" s="576">
        <f t="shared" si="77"/>
        <v>0.16868952187040692</v>
      </c>
      <c r="D486" s="278">
        <f>C486*Conversions!$B$53</f>
        <v>4.284713832957211</v>
      </c>
      <c r="E486" s="279">
        <f>C486*Conversions!$B$59</f>
        <v>0.08285283485413047</v>
      </c>
      <c r="F486" s="280">
        <f>H486*Conversions!$D$67</f>
        <v>0.005825519478414061</v>
      </c>
      <c r="G486" s="281">
        <f t="shared" si="79"/>
        <v>0.05712481962163018</v>
      </c>
      <c r="H486" s="282">
        <f>C486*Conversions!$B$50</f>
        <v>5.712481962163018</v>
      </c>
      <c r="K486">
        <f t="shared" si="80"/>
        <v>3</v>
      </c>
    </row>
    <row r="487" spans="1:11" ht="15">
      <c r="A487" s="639">
        <f t="shared" si="78"/>
        <v>114666.66666666667</v>
      </c>
      <c r="B487" s="640">
        <f t="shared" si="81"/>
        <v>34400</v>
      </c>
      <c r="C487" s="576">
        <f t="shared" si="77"/>
        <v>0.16623460757366632</v>
      </c>
      <c r="D487" s="278">
        <f>C487*Conversions!$B$53</f>
        <v>4.222359010148183</v>
      </c>
      <c r="E487" s="279">
        <f>C487*Conversions!$B$59</f>
        <v>0.08164708949097065</v>
      </c>
      <c r="F487" s="280">
        <f>H487*Conversions!$D$67</f>
        <v>0.0057407415331396285</v>
      </c>
      <c r="G487" s="281">
        <f t="shared" si="79"/>
        <v>0.056293490355692706</v>
      </c>
      <c r="H487" s="282">
        <f>C487*Conversions!$B$50</f>
        <v>5.629349035569271</v>
      </c>
      <c r="K487">
        <f t="shared" si="80"/>
        <v>3</v>
      </c>
    </row>
    <row r="488" spans="1:11" ht="15">
      <c r="A488" s="639">
        <f t="shared" si="78"/>
        <v>115000</v>
      </c>
      <c r="B488" s="640">
        <f t="shared" si="81"/>
        <v>34500</v>
      </c>
      <c r="C488" s="576">
        <f t="shared" si="77"/>
        <v>0.16381830127794259</v>
      </c>
      <c r="D488" s="278">
        <f>C488*Conversions!$B$53</f>
        <v>4.160984830559822</v>
      </c>
      <c r="E488" s="279">
        <f>C488*Conversions!$B$59</f>
        <v>0.08046030667093045</v>
      </c>
      <c r="F488" s="280">
        <f>H488*Conversions!$D$67</f>
        <v>0.005657296875549296</v>
      </c>
      <c r="G488" s="281">
        <f t="shared" si="79"/>
        <v>0.05547523525743078</v>
      </c>
      <c r="H488" s="282">
        <f>C488*Conversions!$B$50</f>
        <v>5.547523525743078</v>
      </c>
      <c r="K488">
        <f t="shared" si="80"/>
        <v>3</v>
      </c>
    </row>
    <row r="489" spans="1:11" ht="15">
      <c r="A489" s="639">
        <f t="shared" si="78"/>
        <v>115333.33333333334</v>
      </c>
      <c r="B489" s="640">
        <f t="shared" si="81"/>
        <v>34600</v>
      </c>
      <c r="C489" s="576">
        <f t="shared" si="77"/>
        <v>0.16143995058554578</v>
      </c>
      <c r="D489" s="278">
        <f>C489*Conversions!$B$53</f>
        <v>4.100574723290891</v>
      </c>
      <c r="E489" s="279">
        <f>C489*Conversions!$B$59</f>
        <v>0.07929216596510912</v>
      </c>
      <c r="F489" s="280">
        <f>H489*Conversions!$D$67</f>
        <v>0.005575162975758524</v>
      </c>
      <c r="G489" s="281">
        <f t="shared" si="79"/>
        <v>0.05466983339966441</v>
      </c>
      <c r="H489" s="282">
        <f>C489*Conversions!$B$50</f>
        <v>5.466983339966441</v>
      </c>
      <c r="K489">
        <f t="shared" si="80"/>
        <v>3</v>
      </c>
    </row>
    <row r="490" spans="1:11" ht="15">
      <c r="A490" s="639">
        <f t="shared" si="78"/>
        <v>115666.66666666667</v>
      </c>
      <c r="B490" s="640">
        <f t="shared" si="81"/>
        <v>34700</v>
      </c>
      <c r="C490" s="576">
        <f t="shared" si="77"/>
        <v>0.15909891488524724</v>
      </c>
      <c r="D490" s="278">
        <f>C490*Conversions!$B$53</f>
        <v>4.041112416816268</v>
      </c>
      <c r="E490" s="279">
        <f>C490*Conversions!$B$59</f>
        <v>0.07814235273359456</v>
      </c>
      <c r="F490" s="280">
        <f>H490*Conversions!$D$67</f>
        <v>0.005494317710916119</v>
      </c>
      <c r="G490" s="281">
        <f t="shared" si="79"/>
        <v>0.05387706784656689</v>
      </c>
      <c r="H490" s="282">
        <f>C490*Conversions!$B$50</f>
        <v>5.387706784656689</v>
      </c>
      <c r="K490">
        <f t="shared" si="80"/>
        <v>3</v>
      </c>
    </row>
    <row r="491" spans="1:11" ht="15">
      <c r="A491" s="639">
        <f t="shared" si="78"/>
        <v>116000</v>
      </c>
      <c r="B491" s="640">
        <f t="shared" si="81"/>
        <v>34800</v>
      </c>
      <c r="C491" s="576">
        <f t="shared" si="77"/>
        <v>0.1567945651256021</v>
      </c>
      <c r="D491" s="278">
        <f>C491*Conversions!$B$53</f>
        <v>3.982581933229336</v>
      </c>
      <c r="E491" s="279">
        <f>C491*Conversions!$B$59</f>
        <v>0.07701055801412937</v>
      </c>
      <c r="F491" s="280">
        <f>H491*Conversions!$D$67</f>
        <v>0.0054147393573761495</v>
      </c>
      <c r="G491" s="281">
        <f t="shared" si="79"/>
        <v>0.05309672557690295</v>
      </c>
      <c r="H491" s="282">
        <f>C491*Conversions!$B$50</f>
        <v>5.309672557690296</v>
      </c>
      <c r="K491">
        <f t="shared" si="80"/>
        <v>3</v>
      </c>
    </row>
    <row r="492" spans="1:11" ht="15">
      <c r="A492" s="639">
        <f t="shared" si="78"/>
        <v>116333.33333333334</v>
      </c>
      <c r="B492" s="640">
        <f t="shared" si="81"/>
        <v>34900</v>
      </c>
      <c r="C492" s="576">
        <f t="shared" si="77"/>
        <v>0.15452628359289605</v>
      </c>
      <c r="D492" s="278">
        <f>C492*Conversions!$B$53</f>
        <v>3.9249675826018358</v>
      </c>
      <c r="E492" s="279">
        <f>C492*Conversions!$B$59</f>
        <v>0.07589647841304813</v>
      </c>
      <c r="F492" s="280">
        <f>H492*Conversions!$D$67</f>
        <v>0.005336406583029576</v>
      </c>
      <c r="G492" s="281">
        <f t="shared" si="79"/>
        <v>0.05232859740883303</v>
      </c>
      <c r="H492" s="282">
        <f>C492*Conversions!$B$50</f>
        <v>5.232859740883303</v>
      </c>
      <c r="K492">
        <f t="shared" si="80"/>
        <v>3</v>
      </c>
    </row>
    <row r="493" spans="1:11" ht="15">
      <c r="A493" s="639">
        <f t="shared" si="78"/>
        <v>116666.66666666667</v>
      </c>
      <c r="B493" s="640">
        <f t="shared" si="81"/>
        <v>35000</v>
      </c>
      <c r="C493" s="576">
        <f t="shared" si="77"/>
        <v>0.1522934636936136</v>
      </c>
      <c r="D493" s="278">
        <f>C493*Conversions!$B$53</f>
        <v>3.8682539574585544</v>
      </c>
      <c r="E493" s="279">
        <f>C493*Conversions!$B$59</f>
        <v>0.07479981599843541</v>
      </c>
      <c r="F493" s="280">
        <f>H493*Conversions!$D$67</f>
        <v>0.0052592984397920066</v>
      </c>
      <c r="G493" s="281">
        <f t="shared" si="79"/>
        <v>0.051572477926248424</v>
      </c>
      <c r="H493" s="282">
        <f>C493*Conversions!$B$50</f>
        <v>5.157247792624842</v>
      </c>
      <c r="K493">
        <f t="shared" si="80"/>
        <v>3</v>
      </c>
    </row>
    <row r="494" spans="1:11" ht="15">
      <c r="A494" s="639">
        <f t="shared" si="78"/>
        <v>117000</v>
      </c>
      <c r="B494" s="640">
        <f t="shared" si="81"/>
        <v>35100</v>
      </c>
      <c r="C494" s="576">
        <f t="shared" si="77"/>
        <v>0.1500955097413354</v>
      </c>
      <c r="D494" s="278">
        <f>C494*Conversions!$B$53</f>
        <v>3.8124259273645196</v>
      </c>
      <c r="E494" s="279">
        <f>C494*Conversions!$B$59</f>
        <v>0.07372027819545918</v>
      </c>
      <c r="F494" s="280">
        <f>H494*Conversions!$D$67</f>
        <v>0.00518339435624442</v>
      </c>
      <c r="G494" s="281">
        <f t="shared" si="79"/>
        <v>0.050828165406606576</v>
      </c>
      <c r="H494" s="282">
        <f>C494*Conversions!$B$50</f>
        <v>5.082816540660658</v>
      </c>
      <c r="K494">
        <f t="shared" si="80"/>
        <v>3</v>
      </c>
    </row>
    <row r="495" spans="1:11" ht="15">
      <c r="A495" s="639">
        <f t="shared" si="78"/>
        <v>117333.33333333334</v>
      </c>
      <c r="B495" s="640">
        <f t="shared" si="81"/>
        <v>35200</v>
      </c>
      <c r="C495" s="576">
        <f t="shared" si="77"/>
        <v>0.14793183674796204</v>
      </c>
      <c r="D495" s="278">
        <f>C495*Conversions!$B$53</f>
        <v>3.7574686336220853</v>
      </c>
      <c r="E495" s="279">
        <f>C495*Conversions!$B$59</f>
        <v>0.07265757768382916</v>
      </c>
      <c r="F495" s="280">
        <f>H495*Conversions!$D$67</f>
        <v>0.005108674130423292</v>
      </c>
      <c r="G495" s="281">
        <f t="shared" si="79"/>
        <v>0.05009546175023129</v>
      </c>
      <c r="H495" s="282">
        <f>C495*Conversions!$B$50</f>
        <v>5.009546175023129</v>
      </c>
      <c r="K495">
        <f t="shared" si="80"/>
        <v>3</v>
      </c>
    </row>
    <row r="496" spans="1:11" ht="15">
      <c r="A496" s="639">
        <f t="shared" si="78"/>
        <v>117666.66666666667</v>
      </c>
      <c r="B496" s="640">
        <f t="shared" si="81"/>
        <v>35300</v>
      </c>
      <c r="C496" s="576">
        <f t="shared" si="77"/>
        <v>0.1458018702191803</v>
      </c>
      <c r="D496" s="278">
        <f>C496*Conversions!$B$53</f>
        <v>3.7033674840757724</v>
      </c>
      <c r="E496" s="279">
        <f>C496*Conversions!$B$59</f>
        <v>0.07161143229733888</v>
      </c>
      <c r="F496" s="280">
        <f>H496*Conversions!$D$67</f>
        <v>0.005035117922757232</v>
      </c>
      <c r="G496" s="281">
        <f t="shared" si="79"/>
        <v>0.04937417241104969</v>
      </c>
      <c r="H496" s="282">
        <f>C496*Conversions!$B$50</f>
        <v>4.937417241104969</v>
      </c>
      <c r="K496">
        <f t="shared" si="80"/>
        <v>3</v>
      </c>
    </row>
    <row r="497" spans="1:11" ht="15">
      <c r="A497" s="639">
        <f t="shared" si="78"/>
        <v>118000</v>
      </c>
      <c r="B497" s="640">
        <f t="shared" si="81"/>
        <v>35400</v>
      </c>
      <c r="C497" s="576">
        <f t="shared" si="77"/>
        <v>0.14370504595407352</v>
      </c>
      <c r="D497" s="278">
        <f>C497*Conversions!$B$53</f>
        <v>3.650108148022372</v>
      </c>
      <c r="E497" s="279">
        <f>C497*Conversions!$B$59</f>
        <v>0.07058156492544312</v>
      </c>
      <c r="F497" s="280">
        <f>H497*Conversions!$D$67</f>
        <v>0.004962706249146734</v>
      </c>
      <c r="G497" s="281">
        <f t="shared" si="79"/>
        <v>0.048664106328732484</v>
      </c>
      <c r="H497" s="282">
        <f>C497*Conversions!$B$50</f>
        <v>4.866410632873248</v>
      </c>
      <c r="K497">
        <f t="shared" si="80"/>
        <v>3</v>
      </c>
    </row>
    <row r="498" spans="1:11" ht="15">
      <c r="A498" s="639">
        <f t="shared" si="78"/>
        <v>118333.33333333334</v>
      </c>
      <c r="B498" s="640">
        <f t="shared" si="81"/>
        <v>35500</v>
      </c>
      <c r="C498" s="576">
        <f t="shared" si="77"/>
        <v>0.14164080984878896</v>
      </c>
      <c r="D498" s="278">
        <f>C498*Conversions!$B$53</f>
        <v>3.5976765512241</v>
      </c>
      <c r="E498" s="279">
        <f>C498*Conversions!$B$59</f>
        <v>0.06956770341682812</v>
      </c>
      <c r="F498" s="280">
        <f>H498*Conversions!$D$67</f>
        <v>0.0048914199741840305</v>
      </c>
      <c r="G498" s="281">
        <f t="shared" si="79"/>
        <v>0.04796507586220815</v>
      </c>
      <c r="H498" s="282">
        <f>C498*Conversions!$B$50</f>
        <v>4.796507586220815</v>
      </c>
      <c r="K498">
        <f t="shared" si="80"/>
        <v>3</v>
      </c>
    </row>
    <row r="499" spans="1:11" ht="15">
      <c r="A499" s="639">
        <f t="shared" si="78"/>
        <v>118666.66666666667</v>
      </c>
      <c r="B499" s="640">
        <f t="shared" si="81"/>
        <v>35600</v>
      </c>
      <c r="C499" s="576">
        <f t="shared" si="77"/>
        <v>0.13960861770418104</v>
      </c>
      <c r="D499" s="278">
        <f>C499*Conversions!$B$53</f>
        <v>3.5460588710227308</v>
      </c>
      <c r="E499" s="279">
        <f>C499*Conversions!$B$59</f>
        <v>0.06856958048493428</v>
      </c>
      <c r="F499" s="280">
        <f>H499*Conversions!$D$67</f>
        <v>0.004821240304510249</v>
      </c>
      <c r="G499" s="281">
        <f t="shared" si="79"/>
        <v>0.047276896724523454</v>
      </c>
      <c r="H499" s="282">
        <f>C499*Conversions!$B$50</f>
        <v>4.727689672452345</v>
      </c>
      <c r="K499">
        <f t="shared" si="80"/>
        <v>3</v>
      </c>
    </row>
    <row r="500" spans="1:11" ht="15">
      <c r="A500" s="639">
        <f t="shared" si="78"/>
        <v>119000</v>
      </c>
      <c r="B500" s="640">
        <f t="shared" si="81"/>
        <v>35700</v>
      </c>
      <c r="C500" s="576">
        <f t="shared" si="77"/>
        <v>0.13760793503733446</v>
      </c>
      <c r="D500" s="278">
        <f>C500*Conversions!$B$53</f>
        <v>3.495241531552287</v>
      </c>
      <c r="E500" s="279">
        <f>C500*Conversions!$B$59</f>
        <v>0.06758693361538474</v>
      </c>
      <c r="F500" s="280">
        <f>H500*Conversions!$D$67</f>
        <v>0.0047521487823065514</v>
      </c>
      <c r="G500" s="281">
        <f t="shared" si="79"/>
        <v>0.046599387919017826</v>
      </c>
      <c r="H500" s="282">
        <f>C500*Conversions!$B$50</f>
        <v>4.659938791901783</v>
      </c>
      <c r="K500">
        <f t="shared" si="80"/>
        <v>3</v>
      </c>
    </row>
    <row r="501" spans="1:11" ht="15">
      <c r="A501" s="639">
        <f t="shared" si="78"/>
        <v>119333.33333333334</v>
      </c>
      <c r="B501" s="640">
        <f t="shared" si="81"/>
        <v>35800</v>
      </c>
      <c r="C501" s="576">
        <f t="shared" si="77"/>
        <v>0.13563823689689664</v>
      </c>
      <c r="D501" s="278">
        <f>C501*Conversions!$B$53</f>
        <v>3.4452111990484844</v>
      </c>
      <c r="E501" s="279">
        <f>C501*Conversions!$B$59</f>
        <v>0.06661950497528489</v>
      </c>
      <c r="F501" s="280">
        <f>H501*Conversions!$D$67</f>
        <v>0.004684127278916842</v>
      </c>
      <c r="G501" s="281">
        <f t="shared" si="79"/>
        <v>0.04593237167678785</v>
      </c>
      <c r="H501" s="282">
        <f>C501*Conversions!$B$50</f>
        <v>4.593237167678785</v>
      </c>
      <c r="K501">
        <f t="shared" si="80"/>
        <v>3</v>
      </c>
    </row>
    <row r="502" spans="1:11" ht="15">
      <c r="A502" s="639">
        <f t="shared" si="78"/>
        <v>119666.66666666667</v>
      </c>
      <c r="B502" s="640">
        <f t="shared" si="81"/>
        <v>35900</v>
      </c>
      <c r="C502" s="576">
        <f t="shared" si="77"/>
        <v>0.13369900768212828</v>
      </c>
      <c r="D502" s="278">
        <f>C502*Conversions!$B$53</f>
        <v>3.395954777252612</v>
      </c>
      <c r="E502" s="279">
        <f>C502*Conversions!$B$59</f>
        <v>0.06566704132434788</v>
      </c>
      <c r="F502" s="280">
        <f>H502*Conversions!$D$67</f>
        <v>0.004617157988598849</v>
      </c>
      <c r="G502" s="281">
        <f t="shared" si="79"/>
        <v>0.04527567339541065</v>
      </c>
      <c r="H502" s="282">
        <f>C502*Conversions!$B$50</f>
        <v>4.527567339541065</v>
      </c>
      <c r="K502">
        <f t="shared" si="80"/>
        <v>3</v>
      </c>
    </row>
    <row r="503" spans="1:11" ht="15">
      <c r="A503" s="639">
        <f t="shared" si="78"/>
        <v>120000</v>
      </c>
      <c r="B503" s="640">
        <f t="shared" si="81"/>
        <v>36000</v>
      </c>
      <c r="C503" s="576">
        <f t="shared" si="77"/>
        <v>0.13178974096559798</v>
      </c>
      <c r="D503" s="278">
        <f>C503*Conversions!$B$53</f>
        <v>3.3474594029079814</v>
      </c>
      <c r="E503" s="279">
        <f>C503*Conversions!$B$59</f>
        <v>0.06472929392781013</v>
      </c>
      <c r="F503" s="280">
        <f>H503*Conversions!$D$67</f>
        <v>0.004551223422401076</v>
      </c>
      <c r="G503" s="281">
        <f t="shared" si="79"/>
        <v>0.044629121578901476</v>
      </c>
      <c r="H503" s="282">
        <f>C503*Conversions!$B$50</f>
        <v>4.462912157890147</v>
      </c>
      <c r="K503">
        <f t="shared" si="80"/>
        <v>3</v>
      </c>
    </row>
    <row r="504" spans="1:11" ht="15">
      <c r="A504" s="639">
        <f t="shared" si="78"/>
        <v>120333.33333333334</v>
      </c>
      <c r="B504" s="640">
        <f t="shared" si="81"/>
        <v>36100</v>
      </c>
      <c r="C504" s="576">
        <f t="shared" si="77"/>
        <v>0.12990993931944386</v>
      </c>
      <c r="D504" s="278">
        <f>C504*Conversions!$B$53</f>
        <v>3.2997124413469665</v>
      </c>
      <c r="E504" s="279">
        <f>C504*Conversions!$B$59</f>
        <v>0.06380601847109871</v>
      </c>
      <c r="F504" s="280">
        <f>H504*Conversions!$D$67</f>
        <v>0.0044863064021629226</v>
      </c>
      <c r="G504" s="281">
        <f t="shared" si="79"/>
        <v>0.043992547778879135</v>
      </c>
      <c r="H504" s="282">
        <f>C504*Conversions!$B$50</f>
        <v>4.399254777887913</v>
      </c>
      <c r="K504">
        <f t="shared" si="80"/>
        <v>3</v>
      </c>
    </row>
    <row r="505" spans="1:11" ht="15">
      <c r="A505" s="639">
        <f t="shared" si="78"/>
        <v>120666.66666666667</v>
      </c>
      <c r="B505" s="640">
        <f t="shared" si="81"/>
        <v>36200</v>
      </c>
      <c r="C505" s="576">
        <f t="shared" si="77"/>
        <v>0.12805911414512144</v>
      </c>
      <c r="D505" s="278">
        <f>C505*Conversions!$B$53</f>
        <v>3.2527014821666036</v>
      </c>
      <c r="E505" s="279">
        <f>C505*Conversions!$B$59</f>
        <v>0.06289697497621105</v>
      </c>
      <c r="F505" s="280">
        <f>H505*Conversions!$D$67</f>
        <v>0.0044223900546352</v>
      </c>
      <c r="G505" s="281">
        <f t="shared" si="79"/>
        <v>0.043365786536911984</v>
      </c>
      <c r="H505" s="282">
        <f>C505*Conversions!$B$50</f>
        <v>4.336578653691198</v>
      </c>
      <c r="K505">
        <f t="shared" si="80"/>
        <v>3</v>
      </c>
    </row>
    <row r="506" spans="1:11" ht="15">
      <c r="A506" s="639">
        <f t="shared" si="78"/>
        <v>121000</v>
      </c>
      <c r="B506" s="640">
        <f t="shared" si="81"/>
        <v>36300</v>
      </c>
      <c r="C506" s="576">
        <f t="shared" si="77"/>
        <v>0.1262367855065706</v>
      </c>
      <c r="D506" s="278">
        <f>C506*Conversions!$B$53</f>
        <v>3.206414334991029</v>
      </c>
      <c r="E506" s="279">
        <f>C506*Conversions!$B$59</f>
        <v>0.062001927719773885</v>
      </c>
      <c r="F506" s="280">
        <f>H506*Conversions!$D$67</f>
        <v>0.004359457805718725</v>
      </c>
      <c r="G506" s="281">
        <f t="shared" si="79"/>
        <v>0.04274867532802184</v>
      </c>
      <c r="H506" s="282">
        <f>C506*Conversions!$B$50</f>
        <v>4.274867532802184</v>
      </c>
      <c r="K506">
        <f t="shared" si="80"/>
        <v>3</v>
      </c>
    </row>
    <row r="507" spans="1:11" ht="15">
      <c r="A507" s="639">
        <f t="shared" si="78"/>
        <v>121333.33333333334</v>
      </c>
      <c r="B507" s="640">
        <f t="shared" si="81"/>
        <v>36400</v>
      </c>
      <c r="C507" s="576">
        <f t="shared" si="77"/>
        <v>0.12444248196672311</v>
      </c>
      <c r="D507" s="278">
        <f>C507*Conversions!$B$53</f>
        <v>3.1608390253187726</v>
      </c>
      <c r="E507" s="279">
        <f>C507*Conversions!$B$59</f>
        <v>0.06112064515274299</v>
      </c>
      <c r="F507" s="280">
        <f>H507*Conversions!$D$67</f>
        <v>0.004297493374818274</v>
      </c>
      <c r="G507" s="281">
        <f t="shared" si="79"/>
        <v>0.04214105450531903</v>
      </c>
      <c r="H507" s="282">
        <f>C507*Conversions!$B$50</f>
        <v>4.214105450531902</v>
      </c>
      <c r="K507">
        <f t="shared" si="80"/>
        <v>3</v>
      </c>
    </row>
    <row r="508" spans="1:11" ht="15">
      <c r="A508" s="639">
        <f t="shared" si="78"/>
        <v>121666.66666666667</v>
      </c>
      <c r="B508" s="640">
        <f t="shared" si="81"/>
        <v>36500</v>
      </c>
      <c r="C508" s="576">
        <f t="shared" si="77"/>
        <v>0.12267574042728382</v>
      </c>
      <c r="D508" s="278">
        <f>C508*Conversions!$B$53</f>
        <v>3.1159637904532</v>
      </c>
      <c r="E508" s="279">
        <f>C508*Conversions!$B$59</f>
        <v>0.060252899821710816</v>
      </c>
      <c r="F508" s="280">
        <f>H508*Conversions!$D$67</f>
        <v>0.004236480769309594</v>
      </c>
      <c r="G508" s="281">
        <f t="shared" si="79"/>
        <v>0.04154276724574611</v>
      </c>
      <c r="H508" s="282">
        <f>C508*Conversions!$B$50</f>
        <v>4.154276724574611</v>
      </c>
      <c r="K508">
        <f t="shared" si="80"/>
        <v>3</v>
      </c>
    </row>
    <row r="509" spans="1:11" ht="15">
      <c r="A509" s="639">
        <f t="shared" si="78"/>
        <v>122000</v>
      </c>
      <c r="B509" s="640">
        <f t="shared" si="81"/>
        <v>36600</v>
      </c>
      <c r="C509" s="576">
        <f t="shared" si="77"/>
        <v>0.12093610597171417</v>
      </c>
      <c r="D509" s="278">
        <f>C509*Conversions!$B$53</f>
        <v>3.071777075514292</v>
      </c>
      <c r="E509" s="279">
        <f>C509*Conversions!$B$59</f>
        <v>0.05939846829178689</v>
      </c>
      <c r="F509" s="280">
        <f>H509*Conversions!$D$67</f>
        <v>0.0041764042791169985</v>
      </c>
      <c r="G509" s="281">
        <f t="shared" si="79"/>
        <v>0.04095365949690601</v>
      </c>
      <c r="H509" s="282">
        <f>C509*Conversions!$B$50</f>
        <v>4.095365949690601</v>
      </c>
      <c r="K509">
        <f t="shared" si="80"/>
        <v>3</v>
      </c>
    </row>
    <row r="510" spans="1:11" ht="15">
      <c r="A510" s="639">
        <f t="shared" si="78"/>
        <v>122333.33333333334</v>
      </c>
      <c r="B510" s="640">
        <f t="shared" si="81"/>
        <v>36700</v>
      </c>
      <c r="C510" s="576">
        <f t="shared" si="77"/>
        <v>0.11922313171135135</v>
      </c>
      <c r="D510" s="278">
        <f>C510*Conversions!$B$53</f>
        <v>3.0282675295300745</v>
      </c>
      <c r="E510" s="279">
        <f>C510*Conversions!$B$59</f>
        <v>0.05855713107101838</v>
      </c>
      <c r="F510" s="280">
        <f>H510*Conversions!$D$67</f>
        <v>0.004117248471399246</v>
      </c>
      <c r="G510" s="281">
        <f t="shared" si="79"/>
        <v>0.04037357992495195</v>
      </c>
      <c r="H510" s="282">
        <f>C510*Conversions!$B$50</f>
        <v>4.037357992495195</v>
      </c>
      <c r="K510">
        <f t="shared" si="80"/>
        <v>3</v>
      </c>
    </row>
    <row r="511" spans="1:11" ht="15">
      <c r="A511" s="639">
        <f t="shared" si="78"/>
        <v>122666.66666666667</v>
      </c>
      <c r="B511" s="640">
        <f t="shared" si="81"/>
        <v>36800</v>
      </c>
      <c r="C511" s="576">
        <f t="shared" si="77"/>
        <v>0.11753637863459786</v>
      </c>
      <c r="D511" s="278">
        <f>C511*Conversions!$B$53</f>
        <v>2.985424001606028</v>
      </c>
      <c r="E511" s="279">
        <f>C511*Conversions!$B$59</f>
        <v>0.05772867253631866</v>
      </c>
      <c r="F511" s="280">
        <f>H511*Conversions!$D$67</f>
        <v>0.0040589981853414595</v>
      </c>
      <c r="G511" s="281">
        <f t="shared" si="79"/>
        <v>0.03980237986351721</v>
      </c>
      <c r="H511" s="282">
        <f>C511*Conversions!$B$50</f>
        <v>3.9802379863517205</v>
      </c>
      <c r="K511">
        <f t="shared" si="80"/>
        <v>3</v>
      </c>
    </row>
    <row r="512" spans="1:11" ht="15">
      <c r="A512" s="639">
        <f t="shared" si="78"/>
        <v>123000</v>
      </c>
      <c r="B512" s="640">
        <f t="shared" si="81"/>
        <v>36900</v>
      </c>
      <c r="C512" s="576">
        <f t="shared" si="77"/>
        <v>0.11587541545911256</v>
      </c>
      <c r="D512" s="278">
        <f>C512*Conversions!$B$53</f>
        <v>2.9432355371707457</v>
      </c>
      <c r="E512" s="279">
        <f>C512*Conversions!$B$59</f>
        <v>0.0569128808608701</v>
      </c>
      <c r="F512" s="280">
        <f>H512*Conversions!$D$67</f>
        <v>0.0040016385270507</v>
      </c>
      <c r="G512" s="281">
        <f t="shared" si="79"/>
        <v>0.039239913263661295</v>
      </c>
      <c r="H512" s="282">
        <f>C512*Conversions!$B$50</f>
        <v>3.9239913263661292</v>
      </c>
      <c r="K512">
        <f t="shared" si="80"/>
        <v>3</v>
      </c>
    </row>
    <row r="513" spans="1:11" ht="15">
      <c r="A513" s="639">
        <f t="shared" si="78"/>
        <v>123333.33333333334</v>
      </c>
      <c r="B513" s="640">
        <f t="shared" si="81"/>
        <v>37000</v>
      </c>
      <c r="C513" s="576">
        <f t="shared" si="77"/>
        <v>0.11423981848694634</v>
      </c>
      <c r="D513" s="278">
        <f>C513*Conversions!$B$53</f>
        <v>2.9016913742963775</v>
      </c>
      <c r="E513" s="279">
        <f>C513*Conversions!$B$59</f>
        <v>0.0561095479429731</v>
      </c>
      <c r="F513" s="280">
        <f>H513*Conversions!$D$67</f>
        <v>0.00394515486455322</v>
      </c>
      <c r="G513" s="281">
        <f t="shared" si="79"/>
        <v>0.03868603664481321</v>
      </c>
      <c r="H513" s="282">
        <f>C513*Conversions!$B$50</f>
        <v>3.8686036644813213</v>
      </c>
      <c r="K513">
        <f t="shared" si="80"/>
        <v>3</v>
      </c>
    </row>
    <row r="514" spans="1:11" ht="15">
      <c r="A514" s="639">
        <f t="shared" si="78"/>
        <v>123666.66666666667</v>
      </c>
      <c r="B514" s="640">
        <f t="shared" si="81"/>
        <v>37100</v>
      </c>
      <c r="C514" s="576">
        <f t="shared" si="77"/>
        <v>0.11262917146255585</v>
      </c>
      <c r="D514" s="278">
        <f>C514*Conversions!$B$53</f>
        <v>2.860780940092177</v>
      </c>
      <c r="E514" s="279">
        <f>C514*Conversions!$B$59</f>
        <v>0.055318469336308726</v>
      </c>
      <c r="F514" s="280">
        <f>H514*Conversions!$D$67</f>
        <v>0.003889532822891115</v>
      </c>
      <c r="G514" s="281">
        <f t="shared" si="79"/>
        <v>0.03814060904668946</v>
      </c>
      <c r="H514" s="282">
        <f>C514*Conversions!$B$50</f>
        <v>3.8140609046689455</v>
      </c>
      <c r="K514">
        <f t="shared" si="80"/>
        <v>3</v>
      </c>
    </row>
    <row r="515" spans="1:11" ht="15">
      <c r="A515" s="639">
        <f t="shared" si="78"/>
        <v>124000</v>
      </c>
      <c r="B515" s="640">
        <f t="shared" si="81"/>
        <v>37200</v>
      </c>
      <c r="C515" s="576">
        <f t="shared" si="77"/>
        <v>0.11104306543363525</v>
      </c>
      <c r="D515" s="278">
        <f>C515*Conversions!$B$53</f>
        <v>2.8204938471696313</v>
      </c>
      <c r="E515" s="279">
        <f>C515*Conversions!$B$59</f>
        <v>0.054539444181585385</v>
      </c>
      <c r="F515" s="280">
        <f>H515*Conversions!$D$67</f>
        <v>0.00383475827931629</v>
      </c>
      <c r="G515" s="281">
        <f t="shared" si="79"/>
        <v>0.037603491982166164</v>
      </c>
      <c r="H515" s="282">
        <f>C515*Conversions!$B$50</f>
        <v>3.7603491982166166</v>
      </c>
      <c r="K515">
        <f t="shared" si="80"/>
        <v>3</v>
      </c>
    </row>
    <row r="516" spans="1:11" ht="15">
      <c r="A516" s="639">
        <f t="shared" si="78"/>
        <v>124333.33333333334</v>
      </c>
      <c r="B516" s="640">
        <f t="shared" si="81"/>
        <v>37300</v>
      </c>
      <c r="C516" s="576">
        <f t="shared" si="77"/>
        <v>0.1094810986147087</v>
      </c>
      <c r="D516" s="278">
        <f>C516*Conversions!$B$53</f>
        <v>2.780819890177707</v>
      </c>
      <c r="E516" s="279">
        <f>C516*Conversions!$B$59</f>
        <v>0.05377227513954155</v>
      </c>
      <c r="F516" s="280">
        <f>H516*Conversions!$D$67</f>
        <v>0.00378081735857977</v>
      </c>
      <c r="G516" s="281">
        <f t="shared" si="79"/>
        <v>0.037074549391086335</v>
      </c>
      <c r="H516" s="282">
        <f>C516*Conversions!$B$50</f>
        <v>3.7074549391086338</v>
      </c>
      <c r="K516">
        <f t="shared" si="80"/>
        <v>3</v>
      </c>
    </row>
    <row r="517" spans="1:11" ht="15">
      <c r="A517" s="639">
        <f t="shared" si="78"/>
        <v>124666.66666666667</v>
      </c>
      <c r="B517" s="640">
        <f t="shared" si="81"/>
        <v>37400</v>
      </c>
      <c r="C517" s="576">
        <f t="shared" si="77"/>
        <v>0.10794287625342557</v>
      </c>
      <c r="D517" s="278">
        <f>C517*Conversions!$B$53</f>
        <v>2.7417490424067514</v>
      </c>
      <c r="E517" s="279">
        <f>C517*Conversions!$B$59</f>
        <v>0.05301676832527581</v>
      </c>
      <c r="F517" s="280">
        <f>H517*Conversions!$D$67</f>
        <v>0.0037276964283143375</v>
      </c>
      <c r="G517" s="281">
        <f t="shared" si="79"/>
        <v>0.036553647594982114</v>
      </c>
      <c r="H517" s="282">
        <f>C517*Conversions!$B$50</f>
        <v>3.6553647594982115</v>
      </c>
      <c r="K517">
        <f t="shared" si="80"/>
        <v>3</v>
      </c>
    </row>
    <row r="518" spans="1:11" ht="15">
      <c r="A518" s="639">
        <f t="shared" si="78"/>
        <v>125000</v>
      </c>
      <c r="B518" s="640">
        <f t="shared" si="81"/>
        <v>37500</v>
      </c>
      <c r="C518" s="576">
        <f t="shared" si="77"/>
        <v>0.10642801049949889</v>
      </c>
      <c r="D518" s="278">
        <f>C518*Conversions!$B$53</f>
        <v>2.7032714524595276</v>
      </c>
      <c r="E518" s="279">
        <f>C518*Conversions!$B$59</f>
        <v>0.05227273324387528</v>
      </c>
      <c r="F518" s="280">
        <f>H518*Conversions!$D$67</f>
        <v>0.003675382094508461</v>
      </c>
      <c r="G518" s="281">
        <f t="shared" si="79"/>
        <v>0.036040655252692316</v>
      </c>
      <c r="H518" s="282">
        <f>C518*Conversions!$B$50</f>
        <v>3.604065525269232</v>
      </c>
      <c r="K518">
        <f t="shared" si="80"/>
        <v>3</v>
      </c>
    </row>
    <row r="519" spans="1:11" ht="15">
      <c r="A519" s="639">
        <f t="shared" si="78"/>
        <v>125333.33333333334</v>
      </c>
      <c r="B519" s="640">
        <f t="shared" si="81"/>
        <v>37600</v>
      </c>
      <c r="C519" s="576">
        <f t="shared" si="77"/>
        <v>0.10493612027623514</v>
      </c>
      <c r="D519" s="278">
        <f>C519*Conversions!$B$53</f>
        <v>2.6653774409880704</v>
      </c>
      <c r="E519" s="279">
        <f>C519*Conversions!$B$59</f>
        <v>0.051539982727316684</v>
      </c>
      <c r="F519" s="280">
        <f>H519*Conversions!$D$67</f>
        <v>0.003623861197069702</v>
      </c>
      <c r="G519" s="281">
        <f t="shared" si="79"/>
        <v>0.0355354433168574</v>
      </c>
      <c r="H519" s="282">
        <f>C519*Conversions!$B$50</f>
        <v>3.55354433168574</v>
      </c>
      <c r="K519">
        <f t="shared" si="80"/>
        <v>3</v>
      </c>
    </row>
    <row r="520" spans="1:11" ht="15">
      <c r="A520" s="639">
        <f t="shared" si="78"/>
        <v>125666.66666666667</v>
      </c>
      <c r="B520" s="640">
        <f t="shared" si="81"/>
        <v>37700</v>
      </c>
      <c r="C520" s="576">
        <f t="shared" si="77"/>
        <v>0.10346683115460104</v>
      </c>
      <c r="D520" s="278">
        <f>C520*Conversions!$B$53</f>
        <v>2.628057497494985</v>
      </c>
      <c r="E520" s="279">
        <f>C520*Conversions!$B$59</f>
        <v>0.050818332872613545</v>
      </c>
      <c r="F520" s="280">
        <f>H520*Conversions!$D$67</f>
        <v>0.003573120805475748</v>
      </c>
      <c r="G520" s="281">
        <f t="shared" si="79"/>
        <v>0.0350378849912736</v>
      </c>
      <c r="H520" s="282">
        <f>C520*Conversions!$B$50</f>
        <v>3.50378849912736</v>
      </c>
      <c r="K520">
        <f t="shared" si="80"/>
        <v>3</v>
      </c>
    </row>
    <row r="521" spans="1:11" ht="15">
      <c r="A521" s="639">
        <f t="shared" si="78"/>
        <v>126000</v>
      </c>
      <c r="B521" s="640">
        <f t="shared" si="81"/>
        <v>37800</v>
      </c>
      <c r="C521" s="576">
        <f t="shared" si="77"/>
        <v>0.10201977522977043</v>
      </c>
      <c r="D521" s="278">
        <f>C521*Conversions!$B$53</f>
        <v>2.591302277197736</v>
      </c>
      <c r="E521" s="279">
        <f>C521*Conversions!$B$59</f>
        <v>0.050107602981181484</v>
      </c>
      <c r="F521" s="280">
        <f>H521*Conversions!$D$67</f>
        <v>0.0035231482145110806</v>
      </c>
      <c r="G521" s="281">
        <f t="shared" si="79"/>
        <v>0.03454785568908692</v>
      </c>
      <c r="H521" s="282">
        <f>C521*Conversions!$B$50</f>
        <v>3.4547855689086924</v>
      </c>
      <c r="K521">
        <f t="shared" si="80"/>
        <v>3</v>
      </c>
    </row>
    <row r="522" spans="1:11" ht="15">
      <c r="A522" s="639">
        <f t="shared" si="78"/>
        <v>126333.33333333334</v>
      </c>
      <c r="B522" s="640">
        <f t="shared" si="81"/>
        <v>37900</v>
      </c>
      <c r="C522" s="576">
        <f t="shared" si="77"/>
        <v>0.10059459100010555</v>
      </c>
      <c r="D522" s="278">
        <f>C522*Conversions!$B$53</f>
        <v>2.5551025979547726</v>
      </c>
      <c r="E522" s="279">
        <f>C522*Conversions!$B$59</f>
        <v>0.04940761549939913</v>
      </c>
      <c r="F522" s="280">
        <f>H522*Conversions!$D$67</f>
        <v>0.00347393094008772</v>
      </c>
      <c r="G522" s="281">
        <f t="shared" si="79"/>
        <v>0.034065232991811495</v>
      </c>
      <c r="H522" s="282">
        <f>C522*Conversions!$B$50</f>
        <v>3.406523299181149</v>
      </c>
      <c r="K522">
        <f t="shared" si="80"/>
        <v>3</v>
      </c>
    </row>
    <row r="523" spans="1:11" ht="15">
      <c r="A523" s="639">
        <f t="shared" si="78"/>
        <v>126666.66666666667</v>
      </c>
      <c r="B523" s="640">
        <f t="shared" si="81"/>
        <v>38000</v>
      </c>
      <c r="C523" s="576">
        <f aca="true" t="shared" si="82" ref="C523:C586">C$21*((D$21/(D$21+(E$21*(A523-B$21))))^((G$18*H$18)/(F$18*E$21)))</f>
        <v>0.09919092324851705</v>
      </c>
      <c r="D523" s="278">
        <f>C523*Conversions!$B$53</f>
        <v>2.519449437252073</v>
      </c>
      <c r="E523" s="279">
        <f>C523*Conversions!$B$59</f>
        <v>0.048718195960337454</v>
      </c>
      <c r="F523" s="280">
        <f>H523*Conversions!$D$67</f>
        <v>0.0034254567151481155</v>
      </c>
      <c r="G523" s="281">
        <f t="shared" si="79"/>
        <v>0.033589896609153465</v>
      </c>
      <c r="H523" s="282">
        <f>C523*Conversions!$B$50</f>
        <v>3.3589896609153462</v>
      </c>
      <c r="K523">
        <f t="shared" si="80"/>
        <v>3</v>
      </c>
    </row>
    <row r="524" spans="1:11" ht="15">
      <c r="A524" s="639">
        <f t="shared" si="78"/>
        <v>127000</v>
      </c>
      <c r="B524" s="640">
        <f t="shared" si="81"/>
        <v>38100</v>
      </c>
      <c r="C524" s="576">
        <f t="shared" si="82"/>
        <v>0.09780842292615616</v>
      </c>
      <c r="D524" s="278">
        <f>C524*Conversions!$B$53</f>
        <v>2.484333929248925</v>
      </c>
      <c r="E524" s="279">
        <f>C524*Conversions!$B$59</f>
        <v>0.04803917292663447</v>
      </c>
      <c r="F524" s="280">
        <f>H524*Conversions!$D$67</f>
        <v>0.0033777134856485718</v>
      </c>
      <c r="G524" s="281">
        <f t="shared" si="79"/>
        <v>0.03312172833962465</v>
      </c>
      <c r="H524" s="282">
        <f>C524*Conversions!$B$50</f>
        <v>3.3121728339624648</v>
      </c>
      <c r="K524">
        <f t="shared" si="80"/>
        <v>3</v>
      </c>
    </row>
    <row r="525" spans="1:11" ht="15">
      <c r="A525" s="639">
        <f t="shared" si="78"/>
        <v>127333.33333333334</v>
      </c>
      <c r="B525" s="640">
        <f t="shared" si="81"/>
        <v>38200</v>
      </c>
      <c r="C525" s="576">
        <f t="shared" si="82"/>
        <v>0.09644674703838817</v>
      </c>
      <c r="D525" s="278">
        <f>C525*Conversions!$B$53</f>
        <v>2.4497473618816525</v>
      </c>
      <c r="E525" s="279">
        <f>C525*Conversions!$B$59</f>
        <v>0.047370377934490476</v>
      </c>
      <c r="F525" s="280">
        <f>H525*Conversions!$D$67</f>
        <v>0.003330689406621463</v>
      </c>
      <c r="G525" s="281">
        <f t="shared" si="79"/>
        <v>0.03266061203192874</v>
      </c>
      <c r="H525" s="282">
        <f>C525*Conversions!$B$50</f>
        <v>3.266061203192874</v>
      </c>
      <c r="K525">
        <f t="shared" si="80"/>
        <v>3</v>
      </c>
    </row>
    <row r="526" spans="1:11" ht="15">
      <c r="A526" s="639">
        <f t="shared" si="78"/>
        <v>127666.66666666667</v>
      </c>
      <c r="B526" s="640">
        <f t="shared" si="81"/>
        <v>38300</v>
      </c>
      <c r="C526" s="576">
        <f t="shared" si="82"/>
        <v>0.09510555853300443</v>
      </c>
      <c r="D526" s="278">
        <f>C526*Conversions!$B$53</f>
        <v>2.415681174024201</v>
      </c>
      <c r="E526" s="279">
        <f>C526*Conversions!$B$59</f>
        <v>0.0467116454387627</v>
      </c>
      <c r="F526" s="280">
        <f>H526*Conversions!$D$67</f>
        <v>0.003284372838314747</v>
      </c>
      <c r="G526" s="281">
        <f t="shared" si="79"/>
        <v>0.03220643354710555</v>
      </c>
      <c r="H526" s="282">
        <f>C526*Conversions!$B$50</f>
        <v>3.220643354710555</v>
      </c>
      <c r="K526">
        <f t="shared" si="80"/>
        <v>3</v>
      </c>
    </row>
    <row r="527" spans="1:11" ht="15">
      <c r="A527" s="639">
        <f t="shared" si="78"/>
        <v>128000</v>
      </c>
      <c r="B527" s="640">
        <f t="shared" si="81"/>
        <v>38400</v>
      </c>
      <c r="C527" s="576">
        <f t="shared" si="82"/>
        <v>0.09378452619061882</v>
      </c>
      <c r="D527" s="278">
        <f>C527*Conversions!$B$53</f>
        <v>2.382126952704208</v>
      </c>
      <c r="E527" s="279">
        <f>C527*Conversions!$B$59</f>
        <v>0.046062812759132946</v>
      </c>
      <c r="F527" s="280">
        <f>H527*Conversions!$D$67</f>
        <v>0.0032387523424069193</v>
      </c>
      <c r="G527" s="281">
        <f t="shared" si="79"/>
        <v>0.031759080721414985</v>
      </c>
      <c r="H527" s="282">
        <f>C527*Conversions!$B$50</f>
        <v>3.1759080721414983</v>
      </c>
      <c r="K527">
        <f t="shared" si="80"/>
        <v>3</v>
      </c>
    </row>
    <row r="528" spans="1:11" ht="15">
      <c r="A528" s="639">
        <f t="shared" si="78"/>
        <v>128333.33333333334</v>
      </c>
      <c r="B528" s="640">
        <f t="shared" si="81"/>
        <v>38500</v>
      </c>
      <c r="C528" s="576">
        <f t="shared" si="82"/>
        <v>0.09248332451721303</v>
      </c>
      <c r="D528" s="278">
        <f>C528*Conversions!$B$53</f>
        <v>2.349076430373651</v>
      </c>
      <c r="E528" s="279">
        <f>C528*Conversions!$B$59</f>
        <v>0.045423720027330486</v>
      </c>
      <c r="F528" s="280">
        <f>H528*Conversions!$D$67</f>
        <v>0.0031938166782961765</v>
      </c>
      <c r="G528" s="281">
        <f t="shared" si="79"/>
        <v>0.03131844332994871</v>
      </c>
      <c r="H528" s="282">
        <f>C528*Conversions!$B$50</f>
        <v>3.131844332994871</v>
      </c>
      <c r="K528">
        <f t="shared" si="80"/>
        <v>3</v>
      </c>
    </row>
    <row r="529" spans="1:11" ht="15">
      <c r="A529" s="639">
        <f aca="true" t="shared" si="83" ref="A529:A592">B529*(1/0.3)</f>
        <v>128666.66666666667</v>
      </c>
      <c r="B529" s="640">
        <f t="shared" si="81"/>
        <v>38600</v>
      </c>
      <c r="C529" s="576">
        <f t="shared" si="82"/>
        <v>0.0912016336387773</v>
      </c>
      <c r="D529" s="278">
        <f>C529*Conversions!$B$53</f>
        <v>2.316521482232725</v>
      </c>
      <c r="E529" s="279">
        <f>C529*Conversions!$B$59</f>
        <v>0.04479421013538438</v>
      </c>
      <c r="F529" s="280">
        <f>H529*Conversions!$D$67</f>
        <v>0.0031495547994619417</v>
      </c>
      <c r="G529" s="281">
        <f aca="true" t="shared" si="84" ref="G529:G592">H529/100</f>
        <v>0.030884413050951433</v>
      </c>
      <c r="H529" s="282">
        <f>C529*Conversions!$B$50</f>
        <v>3.0884413050951434</v>
      </c>
      <c r="K529">
        <f aca="true" t="shared" si="85" ref="K529:K592">K528</f>
        <v>3</v>
      </c>
    </row>
    <row r="530" spans="1:11" ht="15">
      <c r="A530" s="639">
        <f t="shared" si="83"/>
        <v>129000</v>
      </c>
      <c r="B530" s="640">
        <f t="shared" si="81"/>
        <v>38700</v>
      </c>
      <c r="C530" s="576">
        <f t="shared" si="82"/>
        <v>0.0899391391980095</v>
      </c>
      <c r="D530" s="278">
        <f>C530*Conversions!$B$53</f>
        <v>2.2844541236059985</v>
      </c>
      <c r="E530" s="279">
        <f>C530*Conversions!$B$59</f>
        <v>0.044174128684886516</v>
      </c>
      <c r="F530" s="280">
        <f>H530*Conversions!$D$67</f>
        <v>0.0031059558498974724</v>
      </c>
      <c r="G530" s="281">
        <f t="shared" si="84"/>
        <v>0.030456883430839188</v>
      </c>
      <c r="H530" s="282">
        <f>C530*Conversions!$B$50</f>
        <v>3.045688343083919</v>
      </c>
      <c r="K530">
        <f t="shared" si="85"/>
        <v>3</v>
      </c>
    </row>
    <row r="531" spans="1:11" ht="15">
      <c r="A531" s="639">
        <f t="shared" si="83"/>
        <v>129333.33333333334</v>
      </c>
      <c r="B531" s="640">
        <f t="shared" si="81"/>
        <v>38800</v>
      </c>
      <c r="C531" s="576">
        <f t="shared" si="82"/>
        <v>0.0886955322530272</v>
      </c>
      <c r="D531" s="278">
        <f>C531*Conversions!$B$53</f>
        <v>2.252866507369699</v>
      </c>
      <c r="E531" s="279">
        <f>C531*Conversions!$B$59</f>
        <v>0.04356332393724354</v>
      </c>
      <c r="F531" s="280">
        <f>H531*Conversions!$D$67</f>
        <v>0.0030630091606119875</v>
      </c>
      <c r="G531" s="281">
        <f t="shared" si="84"/>
        <v>0.030035749849899308</v>
      </c>
      <c r="H531" s="282">
        <f>C531*Conversions!$B$50</f>
        <v>3.003574984989931</v>
      </c>
      <c r="K531">
        <f t="shared" si="85"/>
        <v>3</v>
      </c>
    </row>
    <row r="532" spans="1:11" ht="15">
      <c r="A532" s="639">
        <f t="shared" si="83"/>
        <v>129666.66666666667</v>
      </c>
      <c r="B532" s="640">
        <f t="shared" si="81"/>
        <v>38900</v>
      </c>
      <c r="C532" s="576">
        <f t="shared" si="82"/>
        <v>0.08747050917805178</v>
      </c>
      <c r="D532" s="278">
        <f>C532*Conversions!$B$53</f>
        <v>2.2217509214290896</v>
      </c>
      <c r="E532" s="279">
        <f>C532*Conversions!$B$59</f>
        <v>0.042961646764897235</v>
      </c>
      <c r="F532" s="280">
        <f>H532*Conversions!$D$67</f>
        <v>0.003020704246200893</v>
      </c>
      <c r="G532" s="281">
        <f t="shared" si="84"/>
        <v>0.029620909488658222</v>
      </c>
      <c r="H532" s="282">
        <f>C532*Conversions!$B$50</f>
        <v>2.9620909488658222</v>
      </c>
      <c r="K532">
        <f t="shared" si="85"/>
        <v>3</v>
      </c>
    </row>
    <row r="533" spans="1:11" ht="15">
      <c r="A533" s="639">
        <f t="shared" si="83"/>
        <v>130000</v>
      </c>
      <c r="B533" s="640">
        <f t="shared" si="81"/>
        <v>39000</v>
      </c>
      <c r="C533" s="576">
        <f t="shared" si="82"/>
        <v>0.08626377156602474</v>
      </c>
      <c r="D533" s="278">
        <f>C533*Conversions!$B$53</f>
        <v>2.1910997862449246</v>
      </c>
      <c r="E533" s="279">
        <f>C533*Conversions!$B$59</f>
        <v>0.04236895060349396</v>
      </c>
      <c r="F533" s="280">
        <f>H533*Conversions!$D$67</f>
        <v>0.002979030801482738</v>
      </c>
      <c r="G533" s="281">
        <f t="shared" si="84"/>
        <v>0.02921226129490355</v>
      </c>
      <c r="H533" s="282">
        <f>C533*Conversions!$B$50</f>
        <v>2.9212261294903548</v>
      </c>
      <c r="K533">
        <f t="shared" si="85"/>
        <v>3</v>
      </c>
    </row>
    <row r="534" spans="1:11" ht="15">
      <c r="A534" s="639">
        <f t="shared" si="83"/>
        <v>130333.33333333334</v>
      </c>
      <c r="B534" s="640">
        <f t="shared" si="81"/>
        <v>39100</v>
      </c>
      <c r="C534" s="576">
        <f t="shared" si="82"/>
        <v>0.0850750261331155</v>
      </c>
      <c r="D534" s="278">
        <f>C534*Conversions!$B$53</f>
        <v>2.1609056524079464</v>
      </c>
      <c r="E534" s="279">
        <f>C534*Conversions!$B$59</f>
        <v>0.04178509140498313</v>
      </c>
      <c r="F534" s="280">
        <f>H534*Conversions!$D$67</f>
        <v>0.0029379786982014888</v>
      </c>
      <c r="G534" s="281">
        <f t="shared" si="84"/>
        <v>0.028809705951346732</v>
      </c>
      <c r="H534" s="282">
        <f>C534*Conversions!$B$50</f>
        <v>2.880970595134673</v>
      </c>
      <c r="K534">
        <f t="shared" si="85"/>
        <v>3</v>
      </c>
    </row>
    <row r="535" spans="1:11" ht="15">
      <c r="A535" s="639">
        <f t="shared" si="83"/>
        <v>130666.66666666667</v>
      </c>
      <c r="B535" s="640">
        <f t="shared" si="81"/>
        <v>39200</v>
      </c>
      <c r="C535" s="576">
        <f t="shared" si="82"/>
        <v>0.08390398462508221</v>
      </c>
      <c r="D535" s="278">
        <f>C535*Conversions!$B$53</f>
        <v>2.1311611982604504</v>
      </c>
      <c r="E535" s="279">
        <f>C535*Conversions!$B$59</f>
        <v>0.041209927591625756</v>
      </c>
      <c r="F535" s="280">
        <f>H535*Conversions!$D$67</f>
        <v>0.0028975379817927946</v>
      </c>
      <c r="G535" s="281">
        <f t="shared" si="84"/>
        <v>0.028413145843913176</v>
      </c>
      <c r="H535" s="282">
        <f>C535*Conversions!$B$50</f>
        <v>2.8413145843913177</v>
      </c>
      <c r="K535">
        <f t="shared" si="85"/>
        <v>3</v>
      </c>
    </row>
    <row r="536" spans="1:11" ht="15">
      <c r="A536" s="639">
        <f t="shared" si="83"/>
        <v>131000</v>
      </c>
      <c r="B536" s="640">
        <f t="shared" si="81"/>
        <v>39300</v>
      </c>
      <c r="C536" s="576">
        <f t="shared" si="82"/>
        <v>0.0827503637254478</v>
      </c>
      <c r="D536" s="278">
        <f>C536*Conversions!$B$53</f>
        <v>2.1018592275639576</v>
      </c>
      <c r="E536" s="279">
        <f>C536*Conversions!$B$59</f>
        <v>0.04064332001089463</v>
      </c>
      <c r="F536" s="280">
        <f>H536*Conversions!$D$67</f>
        <v>0.0028576988682129443</v>
      </c>
      <c r="G536" s="281">
        <f t="shared" si="84"/>
        <v>0.028022485030647103</v>
      </c>
      <c r="H536" s="282">
        <f>C536*Conversions!$B$50</f>
        <v>2.8022485030647104</v>
      </c>
      <c r="K536">
        <f t="shared" si="85"/>
        <v>3</v>
      </c>
    </row>
    <row r="537" spans="1:11" ht="15">
      <c r="A537" s="639">
        <f t="shared" si="83"/>
        <v>131333.33333333334</v>
      </c>
      <c r="B537" s="640">
        <f t="shared" si="81"/>
        <v>39400</v>
      </c>
      <c r="C537" s="576">
        <f t="shared" si="82"/>
        <v>0.08161388496545403</v>
      </c>
      <c r="D537" s="278">
        <f>C537*Conversions!$B$53</f>
        <v>2.072992667212045</v>
      </c>
      <c r="E537" s="279">
        <f>C537*Conversions!$B$59</f>
        <v>0.04008513189124764</v>
      </c>
      <c r="F537" s="280">
        <f>H537*Conversions!$D$67</f>
        <v>0.0028184517408292187</v>
      </c>
      <c r="G537" s="281">
        <f t="shared" si="84"/>
        <v>0.02763762921121848</v>
      </c>
      <c r="H537" s="282">
        <f>C537*Conversions!$B$50</f>
        <v>2.763762921121848</v>
      </c>
      <c r="K537">
        <f t="shared" si="85"/>
        <v>3</v>
      </c>
    </row>
    <row r="538" spans="1:11" ht="15">
      <c r="A538" s="639">
        <f t="shared" si="83"/>
        <v>131666.6666666667</v>
      </c>
      <c r="B538" s="640">
        <f aca="true" t="shared" si="86" ref="B538:B601">B537+100</f>
        <v>39500</v>
      </c>
      <c r="C538" s="576">
        <f t="shared" si="82"/>
        <v>0.08049427463575708</v>
      </c>
      <c r="D538" s="278">
        <f>C538*Conversions!$B$53</f>
        <v>2.044554564987416</v>
      </c>
      <c r="E538" s="279">
        <f>C538*Conversions!$B$59</f>
        <v>0.03953522879875667</v>
      </c>
      <c r="F538" s="280">
        <f>H538*Conversions!$D$67</f>
        <v>0.0027797871473703916</v>
      </c>
      <c r="G538" s="281">
        <f t="shared" si="84"/>
        <v>0.027258485697019733</v>
      </c>
      <c r="H538" s="282">
        <f>C538*Conversions!$B$50</f>
        <v>2.725848569701973</v>
      </c>
      <c r="K538">
        <f t="shared" si="85"/>
        <v>3</v>
      </c>
    </row>
    <row r="539" spans="1:11" ht="15">
      <c r="A539" s="639">
        <f t="shared" si="83"/>
        <v>132000</v>
      </c>
      <c r="B539" s="640">
        <f t="shared" si="86"/>
        <v>39600</v>
      </c>
      <c r="C539" s="576">
        <f t="shared" si="82"/>
        <v>0.07939126369982825</v>
      </c>
      <c r="D539" s="278">
        <f>C539*Conversions!$B$53</f>
        <v>2.0165380873622794</v>
      </c>
      <c r="E539" s="279">
        <f>C539*Conversions!$B$59</f>
        <v>0.038993478594573756</v>
      </c>
      <c r="F539" s="280">
        <f>H539*Conversions!$D$67</f>
        <v>0.00274169579693611</v>
      </c>
      <c r="G539" s="281">
        <f t="shared" si="84"/>
        <v>0.026884963381839863</v>
      </c>
      <c r="H539" s="282">
        <f>C539*Conversions!$B$50</f>
        <v>2.6884963381839864</v>
      </c>
      <c r="K539">
        <f t="shared" si="85"/>
        <v>3</v>
      </c>
    </row>
    <row r="540" spans="1:11" ht="15">
      <c r="A540" s="639">
        <f t="shared" si="83"/>
        <v>132333.33333333334</v>
      </c>
      <c r="B540" s="640">
        <f t="shared" si="86"/>
        <v>39700</v>
      </c>
      <c r="C540" s="576">
        <f t="shared" si="82"/>
        <v>0.07830458770902675</v>
      </c>
      <c r="D540" s="278">
        <f>C540*Conversions!$B$53</f>
        <v>1.9889365173411926</v>
      </c>
      <c r="E540" s="279">
        <f>C540*Conversions!$B$59</f>
        <v>0.03845975139321864</v>
      </c>
      <c r="F540" s="280">
        <f>H540*Conversions!$D$67</f>
        <v>0.0027041685570640193</v>
      </c>
      <c r="G540" s="281">
        <f t="shared" si="84"/>
        <v>0.02651697271310478</v>
      </c>
      <c r="H540" s="282">
        <f>C540*Conversions!$B$50</f>
        <v>2.651697271310478</v>
      </c>
      <c r="K540">
        <f t="shared" si="85"/>
        <v>3</v>
      </c>
    </row>
    <row r="541" spans="1:11" ht="15">
      <c r="A541" s="639">
        <f t="shared" si="83"/>
        <v>132666.6666666667</v>
      </c>
      <c r="B541" s="640">
        <f t="shared" si="86"/>
        <v>39800</v>
      </c>
      <c r="C541" s="576">
        <f t="shared" si="82"/>
        <v>0.07723398671930894</v>
      </c>
      <c r="D541" s="278">
        <f>C541*Conversions!$B$53</f>
        <v>1.9617432523454825</v>
      </c>
      <c r="E541" s="279">
        <f>C541*Conversions!$B$59</f>
        <v>0.037933919521670016</v>
      </c>
      <c r="F541" s="280">
        <f>H541*Conversions!$D$67</f>
        <v>0.0026671964508534047</v>
      </c>
      <c r="G541" s="281">
        <f t="shared" si="84"/>
        <v>0.026154425663671845</v>
      </c>
      <c r="H541" s="282">
        <f>C541*Conversions!$B$50</f>
        <v>2.6154425663671845</v>
      </c>
      <c r="K541">
        <f t="shared" si="85"/>
        <v>3</v>
      </c>
    </row>
    <row r="542" spans="1:11" ht="15">
      <c r="A542" s="639">
        <f t="shared" si="83"/>
        <v>133000</v>
      </c>
      <c r="B542" s="640">
        <f t="shared" si="86"/>
        <v>39900</v>
      </c>
      <c r="C542" s="576">
        <f t="shared" si="82"/>
        <v>0.07617920520954159</v>
      </c>
      <c r="D542" s="278">
        <f>C542*Conversions!$B$53</f>
        <v>1.9349518021383998</v>
      </c>
      <c r="E542" s="279">
        <f>C542*Conversions!$B$59</f>
        <v>0.037415857479244634</v>
      </c>
      <c r="F542" s="280">
        <f>H542*Conversions!$D$67</f>
        <v>0.002630770654144222</v>
      </c>
      <c r="G542" s="281">
        <f t="shared" si="84"/>
        <v>0.025797235704167545</v>
      </c>
      <c r="H542" s="282">
        <f>C542*Conversions!$B$50</f>
        <v>2.5797235704167547</v>
      </c>
      <c r="K542">
        <f t="shared" si="85"/>
        <v>3</v>
      </c>
    </row>
    <row r="543" spans="1:11" ht="15">
      <c r="A543" s="639">
        <f t="shared" si="83"/>
        <v>133333.33333333334</v>
      </c>
      <c r="B543" s="640">
        <f t="shared" si="86"/>
        <v>40000</v>
      </c>
      <c r="C543" s="576">
        <f t="shared" si="82"/>
        <v>0.07513999200138514</v>
      </c>
      <c r="D543" s="278">
        <f>C543*Conversions!$B$53</f>
        <v>1.9085557867901524</v>
      </c>
      <c r="E543" s="279">
        <f>C543*Conversions!$B$59</f>
        <v>0.03690544189824747</v>
      </c>
      <c r="F543" s="280">
        <f>H543*Conversions!$D$67</f>
        <v>0.0025948824927503485</v>
      </c>
      <c r="G543" s="281">
        <f t="shared" si="84"/>
        <v>0.025445317775856867</v>
      </c>
      <c r="H543" s="282">
        <f>C543*Conversions!$B$50</f>
        <v>2.5445317775856866</v>
      </c>
      <c r="K543">
        <f t="shared" si="85"/>
        <v>3</v>
      </c>
    </row>
    <row r="544" spans="1:11" ht="15">
      <c r="A544" s="639">
        <f t="shared" si="83"/>
        <v>133666.6666666667</v>
      </c>
      <c r="B544" s="640">
        <f t="shared" si="86"/>
        <v>40100</v>
      </c>
      <c r="C544" s="576">
        <f t="shared" si="82"/>
        <v>0.07411610018071729</v>
      </c>
      <c r="D544" s="278">
        <f>C544*Conversions!$B$53</f>
        <v>1.882548934682067</v>
      </c>
      <c r="E544" s="279">
        <f>C544*Conversions!$B$59</f>
        <v>0.036402551505378494</v>
      </c>
      <c r="F544" s="280">
        <f>H544*Conversions!$D$67</f>
        <v>0.0025595234397460267</v>
      </c>
      <c r="G544" s="281">
        <f t="shared" si="84"/>
        <v>0.025098588264034268</v>
      </c>
      <c r="H544" s="282">
        <f>C544*Conversions!$B$50</f>
        <v>2.509858826403427</v>
      </c>
      <c r="K544">
        <f t="shared" si="85"/>
        <v>3</v>
      </c>
    </row>
    <row r="545" spans="1:11" ht="15">
      <c r="A545" s="639">
        <f t="shared" si="83"/>
        <v>134000</v>
      </c>
      <c r="B545" s="640">
        <f t="shared" si="86"/>
        <v>40200</v>
      </c>
      <c r="C545" s="576">
        <f t="shared" si="82"/>
        <v>0.07310728702056396</v>
      </c>
      <c r="D545" s="278">
        <f>C545*Conversions!$B$53</f>
        <v>1.8569250805490347</v>
      </c>
      <c r="E545" s="279">
        <f>C545*Conversions!$B$59</f>
        <v>0.03590706708387975</v>
      </c>
      <c r="F545" s="280">
        <f>H545*Conversions!$D$67</f>
        <v>0.002524685112804366</v>
      </c>
      <c r="G545" s="281">
        <f t="shared" si="84"/>
        <v>0.024756964971925127</v>
      </c>
      <c r="H545" s="282">
        <f>C545*Conversions!$B$50</f>
        <v>2.4756964971925126</v>
      </c>
      <c r="K545">
        <f t="shared" si="85"/>
        <v>3</v>
      </c>
    </row>
    <row r="546" spans="1:11" ht="15">
      <c r="A546" s="639">
        <f t="shared" si="83"/>
        <v>134333.33333333334</v>
      </c>
      <c r="B546" s="640">
        <f t="shared" si="86"/>
        <v>40300</v>
      </c>
      <c r="C546" s="576">
        <f t="shared" si="82"/>
        <v>0.07211331390550688</v>
      </c>
      <c r="D546" s="278">
        <f>C546*Conversions!$B$53</f>
        <v>1.8316781635594634</v>
      </c>
      <c r="E546" s="279">
        <f>C546*Conversions!$B$59</f>
        <v>0.03541887143640773</v>
      </c>
      <c r="F546" s="280">
        <f>H546*Conversions!$D$67</f>
        <v>0.002490359271586834</v>
      </c>
      <c r="G546" s="281">
        <f t="shared" si="84"/>
        <v>0.024420367095087187</v>
      </c>
      <c r="H546" s="282">
        <f>C546*Conversions!$B$50</f>
        <v>2.4420367095087188</v>
      </c>
      <c r="K546">
        <f t="shared" si="85"/>
        <v>3</v>
      </c>
    </row>
    <row r="547" spans="1:11" ht="15">
      <c r="A547" s="639">
        <f t="shared" si="83"/>
        <v>134666.6666666667</v>
      </c>
      <c r="B547" s="640">
        <f t="shared" si="86"/>
        <v>40400</v>
      </c>
      <c r="C547" s="576">
        <f t="shared" si="82"/>
        <v>0.07113394625753933</v>
      </c>
      <c r="D547" s="278">
        <f>C547*Conversions!$B$53</f>
        <v>1.8068022254320135</v>
      </c>
      <c r="E547" s="279">
        <f>C547*Conversions!$B$59</f>
        <v>0.034937849348616934</v>
      </c>
      <c r="F547" s="280">
        <f>H547*Conversions!$D$67</f>
        <v>0.0024565378151827633</v>
      </c>
      <c r="G547" s="281">
        <f t="shared" si="84"/>
        <v>0.02408871519630247</v>
      </c>
      <c r="H547" s="282">
        <f>C547*Conversions!$B$50</f>
        <v>2.4088715196302473</v>
      </c>
      <c r="K547">
        <f t="shared" si="85"/>
        <v>3</v>
      </c>
    </row>
    <row r="548" spans="1:11" ht="15">
      <c r="A548" s="639">
        <f t="shared" si="83"/>
        <v>135000</v>
      </c>
      <c r="B548" s="640">
        <f t="shared" si="86"/>
        <v>40500</v>
      </c>
      <c r="C548" s="576">
        <f t="shared" si="82"/>
        <v>0.07016895346333925</v>
      </c>
      <c r="D548" s="278">
        <f>C548*Conversions!$B$53</f>
        <v>1.782291408588336</v>
      </c>
      <c r="E548" s="279">
        <f>C548*Conversions!$B$59</f>
        <v>0.034463887553439716</v>
      </c>
      <c r="F548" s="280">
        <f>H548*Conversions!$D$67</f>
        <v>0.0024232127795977996</v>
      </c>
      <c r="G548" s="281">
        <f t="shared" si="84"/>
        <v>0.023761931180949096</v>
      </c>
      <c r="H548" s="282">
        <f>C548*Conversions!$B$50</f>
        <v>2.3761931180949096</v>
      </c>
      <c r="K548">
        <f t="shared" si="85"/>
        <v>3</v>
      </c>
    </row>
    <row r="549" spans="1:11" ht="15">
      <c r="A549" s="639">
        <f t="shared" si="83"/>
        <v>135333.33333333334</v>
      </c>
      <c r="B549" s="640">
        <f t="shared" si="86"/>
        <v>40600</v>
      </c>
      <c r="C549" s="576">
        <f t="shared" si="82"/>
        <v>0.06921810880293261</v>
      </c>
      <c r="D549" s="278">
        <f>C549*Conversions!$B$53</f>
        <v>1.7581399543411202</v>
      </c>
      <c r="E549" s="279">
        <f>C549*Conversions!$B$59</f>
        <v>0.03399687469604882</v>
      </c>
      <c r="F549" s="280">
        <f>H549*Conversions!$D$67</f>
        <v>0.0023903763352903684</v>
      </c>
      <c r="G549" s="281">
        <f t="shared" si="84"/>
        <v>0.02343993827284395</v>
      </c>
      <c r="H549" s="282">
        <f>C549*Conversions!$B$50</f>
        <v>2.343993827284395</v>
      </c>
      <c r="K549">
        <f t="shared" si="85"/>
        <v>3</v>
      </c>
    </row>
    <row r="550" spans="1:11" ht="15">
      <c r="A550" s="639">
        <f t="shared" si="83"/>
        <v>135666.6666666667</v>
      </c>
      <c r="B550" s="640">
        <f t="shared" si="86"/>
        <v>40700</v>
      </c>
      <c r="C550" s="576">
        <f t="shared" si="82"/>
        <v>0.06828118937971651</v>
      </c>
      <c r="D550" s="278">
        <f>C550*Conversions!$B$53</f>
        <v>1.7343422011166827</v>
      </c>
      <c r="E550" s="279">
        <f>C550*Conversions!$B$59</f>
        <v>0.03353670129948785</v>
      </c>
      <c r="F550" s="280">
        <f>H550*Conversions!$D$67</f>
        <v>0.00235802078475509</v>
      </c>
      <c r="G550" s="281">
        <f t="shared" si="84"/>
        <v>0.02312266099054577</v>
      </c>
      <c r="H550" s="282">
        <f>C550*Conversions!$B$50</f>
        <v>2.312266099054577</v>
      </c>
      <c r="K550">
        <f t="shared" si="85"/>
        <v>3</v>
      </c>
    </row>
    <row r="551" spans="1:11" ht="15">
      <c r="A551" s="639">
        <f t="shared" si="83"/>
        <v>136000</v>
      </c>
      <c r="B551" s="640">
        <f t="shared" si="86"/>
        <v>40800</v>
      </c>
      <c r="C551" s="576">
        <f t="shared" si="82"/>
        <v>0.06735797605181788</v>
      </c>
      <c r="D551" s="278">
        <f>C551*Conversions!$B$53</f>
        <v>1.7108925827114765</v>
      </c>
      <c r="E551" s="279">
        <f>C551*Conversions!$B$59</f>
        <v>0.03308325973095771</v>
      </c>
      <c r="F551" s="280">
        <f>H551*Conversions!$D$67</f>
        <v>0.002326138560152328</v>
      </c>
      <c r="G551" s="281">
        <f t="shared" si="84"/>
        <v>0.022810025124110577</v>
      </c>
      <c r="H551" s="282">
        <f>C551*Conversions!$B$50</f>
        <v>2.2810025124110576</v>
      </c>
      <c r="K551">
        <f t="shared" si="85"/>
        <v>3</v>
      </c>
    </row>
    <row r="552" spans="1:11" ht="15">
      <c r="A552" s="639">
        <f t="shared" si="83"/>
        <v>136333.33333333334</v>
      </c>
      <c r="B552" s="640">
        <f t="shared" si="86"/>
        <v>40900</v>
      </c>
      <c r="C552" s="576">
        <f t="shared" si="82"/>
        <v>0.06644825336475778</v>
      </c>
      <c r="D552" s="278">
        <f>C552*Conversions!$B$53</f>
        <v>1.6877856265817655</v>
      </c>
      <c r="E552" s="279">
        <f>C552*Conversions!$B$59</f>
        <v>0.03263644416874424</v>
      </c>
      <c r="F552" s="280">
        <f>H552*Conversions!$D$67</f>
        <v>0.002294722220982814</v>
      </c>
      <c r="G552" s="281">
        <f t="shared" si="84"/>
        <v>0.02250195771228913</v>
      </c>
      <c r="H552" s="282">
        <f>C552*Conversions!$B$50</f>
        <v>2.250195771228913</v>
      </c>
      <c r="K552">
        <f t="shared" si="85"/>
        <v>3</v>
      </c>
    </row>
    <row r="553" spans="1:11" ht="15">
      <c r="A553" s="639">
        <f t="shared" si="83"/>
        <v>136666.6666666667</v>
      </c>
      <c r="B553" s="640">
        <f t="shared" si="86"/>
        <v>41000</v>
      </c>
      <c r="C553" s="576">
        <f t="shared" si="82"/>
        <v>0.06555180948539754</v>
      </c>
      <c r="D553" s="278">
        <f>C553*Conversions!$B$53</f>
        <v>1.6650159521658559</v>
      </c>
      <c r="E553" s="279">
        <f>C553*Conversions!$B$59</f>
        <v>0.032196150569775546</v>
      </c>
      <c r="F553" s="280">
        <f>H553*Conversions!$D$67</f>
        <v>0.0022637644518065515</v>
      </c>
      <c r="G553" s="281">
        <f t="shared" si="84"/>
        <v>0.022198387020158597</v>
      </c>
      <c r="H553" s="282">
        <f>C553*Conversions!$B$50</f>
        <v>2.21983870201586</v>
      </c>
      <c r="K553">
        <f t="shared" si="85"/>
        <v>3</v>
      </c>
    </row>
    <row r="554" spans="1:11" ht="15">
      <c r="A554" s="639">
        <f t="shared" si="83"/>
        <v>137000</v>
      </c>
      <c r="B554" s="640">
        <f t="shared" si="86"/>
        <v>41100</v>
      </c>
      <c r="C554" s="576">
        <f t="shared" si="82"/>
        <v>0.06466843613713873</v>
      </c>
      <c r="D554" s="278">
        <f>C554*Conversions!$B$53</f>
        <v>1.642578269238175</v>
      </c>
      <c r="E554" s="279">
        <f>C554*Conversions!$B$59</f>
        <v>0.031762276637795024</v>
      </c>
      <c r="F554" s="280">
        <f>H554*Conversions!$D$67</f>
        <v>0.002233258060005009</v>
      </c>
      <c r="G554" s="281">
        <f t="shared" si="84"/>
        <v>0.021899242517178695</v>
      </c>
      <c r="H554" s="282">
        <f>C554*Conversions!$B$50</f>
        <v>2.1899242517178696</v>
      </c>
      <c r="K554">
        <f t="shared" si="85"/>
        <v>3</v>
      </c>
    </row>
    <row r="555" spans="1:11" ht="15">
      <c r="A555" s="639">
        <f t="shared" si="83"/>
        <v>137333.33333333334</v>
      </c>
      <c r="B555" s="640">
        <f t="shared" si="86"/>
        <v>41200</v>
      </c>
      <c r="C555" s="576">
        <f t="shared" si="82"/>
        <v>0.06379792853635301</v>
      </c>
      <c r="D555" s="278">
        <f>C555*Conversions!$B$53</f>
        <v>1.620467376294591</v>
      </c>
      <c r="E555" s="279">
        <f>C555*Conversions!$B$59</f>
        <v>0.03133472179213856</v>
      </c>
      <c r="F555" s="280">
        <f>H555*Conversions!$D$67</f>
        <v>0.002203195973585791</v>
      </c>
      <c r="G555" s="281">
        <f t="shared" si="84"/>
        <v>0.021604454855664396</v>
      </c>
      <c r="H555" s="282">
        <f>C555*Conversions!$B$50</f>
        <v>2.1604454855664397</v>
      </c>
      <c r="K555">
        <f t="shared" si="85"/>
        <v>3</v>
      </c>
    </row>
    <row r="556" spans="1:11" ht="15">
      <c r="A556" s="639">
        <f t="shared" si="83"/>
        <v>137666.6666666667</v>
      </c>
      <c r="B556" s="640">
        <f t="shared" si="86"/>
        <v>41300</v>
      </c>
      <c r="C556" s="576">
        <f t="shared" si="82"/>
        <v>0.0629400853300183</v>
      </c>
      <c r="D556" s="278">
        <f>C556*Conversions!$B$53</f>
        <v>1.5986781589683692</v>
      </c>
      <c r="E556" s="279">
        <f>C556*Conversions!$B$59</f>
        <v>0.030913387137104148</v>
      </c>
      <c r="F556" s="280">
        <f>H556*Conversions!$D$67</f>
        <v>0.0021735712390289685</v>
      </c>
      <c r="G556" s="281">
        <f t="shared" si="84"/>
        <v>0.021313955849667107</v>
      </c>
      <c r="H556" s="282">
        <f>C556*Conversions!$B$50</f>
        <v>2.1313955849667106</v>
      </c>
      <c r="K556">
        <f t="shared" si="85"/>
        <v>3</v>
      </c>
    </row>
    <row r="557" spans="1:11" ht="15">
      <c r="A557" s="639">
        <f t="shared" si="83"/>
        <v>138000</v>
      </c>
      <c r="B557" s="640">
        <f t="shared" si="86"/>
        <v>41400</v>
      </c>
      <c r="C557" s="576">
        <f t="shared" si="82"/>
        <v>0.0620947085345343</v>
      </c>
      <c r="D557" s="278">
        <f>C557*Conversions!$B$53</f>
        <v>1.5772055884760892</v>
      </c>
      <c r="E557" s="279">
        <f>C557*Conversions!$B$59</f>
        <v>0.030498175431900795</v>
      </c>
      <c r="F557" s="280">
        <f>H557*Conversions!$D$67</f>
        <v>0.002144377019174136</v>
      </c>
      <c r="G557" s="281">
        <f t="shared" si="84"/>
        <v>0.021027678454255228</v>
      </c>
      <c r="H557" s="282">
        <f>C557*Conversions!$B$50</f>
        <v>2.102767845425523</v>
      </c>
      <c r="K557">
        <f t="shared" si="85"/>
        <v>3</v>
      </c>
    </row>
    <row r="558" spans="1:11" ht="15">
      <c r="A558" s="639">
        <f t="shared" si="83"/>
        <v>138333.33333333334</v>
      </c>
      <c r="B558" s="640">
        <f t="shared" si="86"/>
        <v>41500</v>
      </c>
      <c r="C558" s="576">
        <f t="shared" si="82"/>
        <v>0.06126160347569564</v>
      </c>
      <c r="D558" s="278">
        <f>C558*Conversions!$B$53</f>
        <v>1.5560447200929604</v>
      </c>
      <c r="E558" s="279">
        <f>C558*Conversions!$B$59</f>
        <v>0.030088991061165977</v>
      </c>
      <c r="F558" s="280">
        <f>H558*Conversions!$D$67</f>
        <v>0.002115606591147442</v>
      </c>
      <c r="G558" s="281">
        <f t="shared" si="84"/>
        <v>0.020745556745186734</v>
      </c>
      <c r="H558" s="282">
        <f>C558*Conversions!$B$50</f>
        <v>2.0745556745186735</v>
      </c>
      <c r="K558">
        <f t="shared" si="85"/>
        <v>3</v>
      </c>
    </row>
    <row r="559" spans="1:11" ht="15">
      <c r="A559" s="639">
        <f t="shared" si="83"/>
        <v>138666.6666666667</v>
      </c>
      <c r="B559" s="640">
        <f t="shared" si="86"/>
        <v>41600</v>
      </c>
      <c r="C559" s="576">
        <f t="shared" si="82"/>
        <v>0.0604405787298002</v>
      </c>
      <c r="D559" s="278">
        <f>C559*Conversions!$B$53</f>
        <v>1.5351906916569742</v>
      </c>
      <c r="E559" s="279">
        <f>C559*Conversions!$B$59</f>
        <v>0.029685740006040646</v>
      </c>
      <c r="F559" s="280">
        <f>H559*Conversions!$D$67</f>
        <v>0.0020872533443278313</v>
      </c>
      <c r="G559" s="281">
        <f t="shared" si="84"/>
        <v>0.020467525898966176</v>
      </c>
      <c r="H559" s="282">
        <f>C559*Conversions!$B$50</f>
        <v>2.0467525898966175</v>
      </c>
      <c r="K559">
        <f t="shared" si="85"/>
        <v>3</v>
      </c>
    </row>
    <row r="560" spans="1:11" ht="15">
      <c r="A560" s="639">
        <f t="shared" si="83"/>
        <v>139000</v>
      </c>
      <c r="B560" s="640">
        <f t="shared" si="86"/>
        <v>41700</v>
      </c>
      <c r="C560" s="576">
        <f t="shared" si="82"/>
        <v>0.05963144606586746</v>
      </c>
      <c r="D560" s="278">
        <f>C560*Conversions!$B$53</f>
        <v>1.514638722101251</v>
      </c>
      <c r="E560" s="279">
        <f>C560*Conversions!$B$59</f>
        <v>0.029288329815789448</v>
      </c>
      <c r="F560" s="280">
        <f>H560*Conversions!$D$67</f>
        <v>0.002059310778351609</v>
      </c>
      <c r="G560" s="281">
        <f t="shared" si="84"/>
        <v>0.020193522173277533</v>
      </c>
      <c r="H560" s="282">
        <f>C560*Conversions!$B$50</f>
        <v>2.019352217327753</v>
      </c>
      <c r="K560">
        <f t="shared" si="85"/>
        <v>3</v>
      </c>
    </row>
    <row r="561" spans="1:11" ht="15">
      <c r="A561" s="639">
        <f t="shared" si="83"/>
        <v>139333.33333333334</v>
      </c>
      <c r="B561" s="640">
        <f t="shared" si="86"/>
        <v>41800</v>
      </c>
      <c r="C561" s="576">
        <f t="shared" si="82"/>
        <v>0.05883402038894671</v>
      </c>
      <c r="D561" s="278">
        <f>C561*Conversions!$B$53</f>
        <v>1.494384110014067</v>
      </c>
      <c r="E561" s="279">
        <f>C561*Conversions!$B$59</f>
        <v>0.02889666957995622</v>
      </c>
      <c r="F561" s="280">
        <f>H561*Conversions!$D$67</f>
        <v>0.0020317725011546523</v>
      </c>
      <c r="G561" s="281">
        <f t="shared" si="84"/>
        <v>0.01992348288778623</v>
      </c>
      <c r="H561" s="282">
        <f>C561*Conversions!$B$50</f>
        <v>1.9923482887786228</v>
      </c>
      <c r="K561">
        <f t="shared" si="85"/>
        <v>3</v>
      </c>
    </row>
    <row r="562" spans="1:11" ht="15">
      <c r="A562" s="639">
        <f t="shared" si="83"/>
        <v>139666.6666666667</v>
      </c>
      <c r="B562" s="640">
        <f t="shared" si="86"/>
        <v>41900</v>
      </c>
      <c r="C562" s="576">
        <f t="shared" si="82"/>
        <v>0.05804811968449401</v>
      </c>
      <c r="D562" s="278">
        <f>C562*Conversions!$B$53</f>
        <v>1.474422232226031</v>
      </c>
      <c r="E562" s="279">
        <f>C562*Conversions!$B$59</f>
        <v>0.028510669901044408</v>
      </c>
      <c r="F562" s="280">
        <f>H562*Conversions!$D$67</f>
        <v>0.002004632227051524</v>
      </c>
      <c r="G562" s="281">
        <f t="shared" si="84"/>
        <v>0.019657346405302974</v>
      </c>
      <c r="H562" s="282">
        <f>C562*Conversions!$B$50</f>
        <v>1.9657346405302973</v>
      </c>
      <c r="K562">
        <f t="shared" si="85"/>
        <v>3</v>
      </c>
    </row>
    <row r="563" spans="1:11" ht="15">
      <c r="A563" s="639">
        <f t="shared" si="83"/>
        <v>140000</v>
      </c>
      <c r="B563" s="640">
        <f t="shared" si="86"/>
        <v>42000</v>
      </c>
      <c r="C563" s="576">
        <f t="shared" si="82"/>
        <v>0.057273564963793794</v>
      </c>
      <c r="D563" s="278">
        <f>C563*Conversions!$B$53</f>
        <v>1.4547485424237911</v>
      </c>
      <c r="E563" s="279">
        <f>C563*Conversions!$B$59</f>
        <v>0.02813024286771057</v>
      </c>
      <c r="F563" s="280">
        <f>H563*Conversions!$D$67</f>
        <v>0.001977883774850663</v>
      </c>
      <c r="G563" s="281">
        <f t="shared" si="84"/>
        <v>0.019395052113301402</v>
      </c>
      <c r="H563" s="282">
        <f>C563*Conversions!$B$50</f>
        <v>1.93950521133014</v>
      </c>
      <c r="K563">
        <f t="shared" si="85"/>
        <v>3</v>
      </c>
    </row>
    <row r="564" spans="1:11" ht="15">
      <c r="A564" s="639">
        <f t="shared" si="83"/>
        <v>140333.33333333334</v>
      </c>
      <c r="B564" s="640">
        <f t="shared" si="86"/>
        <v>42100</v>
      </c>
      <c r="C564" s="576">
        <f t="shared" si="82"/>
        <v>0.05651018021040647</v>
      </c>
      <c r="D564" s="278">
        <f>C564*Conversions!$B$53</f>
        <v>1.4353585697898057</v>
      </c>
      <c r="E564" s="279">
        <f>C564*Conversions!$B$59</f>
        <v>0.02775530202846182</v>
      </c>
      <c r="F564" s="280">
        <f>H564*Conversions!$D$67</f>
        <v>0.0019515210660050084</v>
      </c>
      <c r="G564" s="281">
        <f t="shared" si="84"/>
        <v>0.019136540405783165</v>
      </c>
      <c r="H564" s="282">
        <f>C564*Conversions!$B$50</f>
        <v>1.9136540405783165</v>
      </c>
      <c r="K564">
        <f t="shared" si="85"/>
        <v>3</v>
      </c>
    </row>
    <row r="565" spans="1:11" ht="15">
      <c r="A565" s="639">
        <f t="shared" si="83"/>
        <v>140666.6666666667</v>
      </c>
      <c r="B565" s="640">
        <f t="shared" si="86"/>
        <v>42200</v>
      </c>
      <c r="C565" s="576">
        <f t="shared" si="82"/>
        <v>0.0557577923276218</v>
      </c>
      <c r="D565" s="278">
        <f>C565*Conversions!$B$53</f>
        <v>1.4162479176676575</v>
      </c>
      <c r="E565" s="279">
        <f>C565*Conversions!$B$59</f>
        <v>0.027385762365847225</v>
      </c>
      <c r="F565" s="280">
        <f>H565*Conversions!$D$67</f>
        <v>0.0019255381227973561</v>
      </c>
      <c r="G565" s="281">
        <f t="shared" si="84"/>
        <v>0.0188817526654836</v>
      </c>
      <c r="H565" s="282">
        <f>C565*Conversions!$B$50</f>
        <v>1.8881752665483602</v>
      </c>
      <c r="K565">
        <f t="shared" si="85"/>
        <v>3</v>
      </c>
    </row>
    <row r="566" spans="1:11" ht="15">
      <c r="A566" s="639">
        <f t="shared" si="83"/>
        <v>141000</v>
      </c>
      <c r="B566" s="640">
        <f t="shared" si="86"/>
        <v>42300</v>
      </c>
      <c r="C566" s="576">
        <f t="shared" si="82"/>
        <v>0.055016231086897655</v>
      </c>
      <c r="D566" s="278">
        <f>C566*Conversions!$B$53</f>
        <v>1.3974122622523992</v>
      </c>
      <c r="E566" s="279">
        <f>C566*Conversions!$B$59</f>
        <v>0.02702154027113323</v>
      </c>
      <c r="F566" s="280">
        <f>H566*Conversions!$D$67</f>
        <v>0.0018999290665597426</v>
      </c>
      <c r="G566" s="281">
        <f t="shared" si="84"/>
        <v>0.018630631246411098</v>
      </c>
      <c r="H566" s="282">
        <f>C566*Conversions!$B$50</f>
        <v>1.8630631246411098</v>
      </c>
      <c r="K566">
        <f t="shared" si="85"/>
        <v>3</v>
      </c>
    </row>
    <row r="567" spans="1:11" ht="15">
      <c r="A567" s="639">
        <f t="shared" si="83"/>
        <v>141333.33333333334</v>
      </c>
      <c r="B567" s="640">
        <f t="shared" si="86"/>
        <v>42400</v>
      </c>
      <c r="C567" s="576">
        <f t="shared" si="82"/>
        <v>0.05428532907726307</v>
      </c>
      <c r="D567" s="278">
        <f>C567*Conversions!$B$53</f>
        <v>1.3788473513053907</v>
      </c>
      <c r="E567" s="279">
        <f>C567*Conversions!$B$59</f>
        <v>0.02666255351945266</v>
      </c>
      <c r="F567" s="280">
        <f>H567*Conversions!$D$67</f>
        <v>0.0018746881159261322</v>
      </c>
      <c r="G567" s="281">
        <f t="shared" si="84"/>
        <v>0.01838311945671299</v>
      </c>
      <c r="H567" s="282">
        <f>C567*Conversions!$B$50</f>
        <v>1.8383119456712989</v>
      </c>
      <c r="K567">
        <f t="shared" si="85"/>
        <v>3</v>
      </c>
    </row>
    <row r="568" spans="1:11" ht="15">
      <c r="A568" s="639">
        <f t="shared" si="83"/>
        <v>141666.6666666667</v>
      </c>
      <c r="B568" s="640">
        <f t="shared" si="86"/>
        <v>42500</v>
      </c>
      <c r="C568" s="576">
        <f t="shared" si="82"/>
        <v>0.05356492165566993</v>
      </c>
      <c r="D568" s="278">
        <f>C568*Conversions!$B$53</f>
        <v>1.360549002893232</v>
      </c>
      <c r="E568" s="279">
        <f>C568*Conversions!$B$59</f>
        <v>0.026308721245419654</v>
      </c>
      <c r="F568" s="280">
        <f>H568*Conversions!$D$67</f>
        <v>0.0018498095851178645</v>
      </c>
      <c r="G568" s="281">
        <f t="shared" si="84"/>
        <v>0.01813916154186273</v>
      </c>
      <c r="H568" s="282">
        <f>C568*Conversions!$B$50</f>
        <v>1.813916154186273</v>
      </c>
      <c r="K568">
        <f t="shared" si="85"/>
        <v>3</v>
      </c>
    </row>
    <row r="569" spans="1:11" ht="15">
      <c r="A569" s="639">
        <f t="shared" si="83"/>
        <v>142000</v>
      </c>
      <c r="B569" s="640">
        <f t="shared" si="86"/>
        <v>42600</v>
      </c>
      <c r="C569" s="576">
        <f t="shared" si="82"/>
        <v>0.052854846898270344</v>
      </c>
      <c r="D569" s="278">
        <f>C569*Conversions!$B$53</f>
        <v>1.3425131041502083</v>
      </c>
      <c r="E569" s="279">
        <f>C569*Conversions!$B$59</f>
        <v>0.025959963919199292</v>
      </c>
      <c r="F569" s="280">
        <f>H569*Conversions!$D$67</f>
        <v>0.0018252878822610666</v>
      </c>
      <c r="G569" s="281">
        <f t="shared" si="84"/>
        <v>0.01789870266816051</v>
      </c>
      <c r="H569" s="282">
        <f>C569*Conversions!$B$50</f>
        <v>1.7898702668160509</v>
      </c>
      <c r="K569">
        <f t="shared" si="85"/>
        <v>3</v>
      </c>
    </row>
    <row r="570" spans="1:11" ht="15">
      <c r="A570" s="639">
        <f t="shared" si="83"/>
        <v>142333.33333333334</v>
      </c>
      <c r="B570" s="640">
        <f t="shared" si="86"/>
        <v>42700</v>
      </c>
      <c r="C570" s="576">
        <f t="shared" si="82"/>
        <v>0.052154945552605816</v>
      </c>
      <c r="D570" s="278">
        <f>C570*Conversions!$B$53</f>
        <v>1.3247356100638952</v>
      </c>
      <c r="E570" s="279">
        <f>C570*Conversions!$B$59</f>
        <v>0.025616203323025003</v>
      </c>
      <c r="F570" s="280">
        <f>H570*Conversions!$D$67</f>
        <v>0.0018011175077355566</v>
      </c>
      <c r="G570" s="281">
        <f t="shared" si="84"/>
        <v>0.017661688906542655</v>
      </c>
      <c r="H570" s="282">
        <f>C570*Conversions!$B$50</f>
        <v>1.7661688906542654</v>
      </c>
      <c r="K570">
        <f t="shared" si="85"/>
        <v>3</v>
      </c>
    </row>
    <row r="571" spans="1:11" ht="15">
      <c r="A571" s="639">
        <f t="shared" si="83"/>
        <v>142666.6666666667</v>
      </c>
      <c r="B571" s="640">
        <f t="shared" si="86"/>
        <v>42800</v>
      </c>
      <c r="C571" s="576">
        <f t="shared" si="82"/>
        <v>0.05146506099068584</v>
      </c>
      <c r="D571" s="278">
        <f>C571*Conversions!$B$53</f>
        <v>1.3072125422833545</v>
      </c>
      <c r="E571" s="279">
        <f>C571*Conversions!$B$59</f>
        <v>0.02527736252815286</v>
      </c>
      <c r="F571" s="280">
        <f>H571*Conversions!$D$67</f>
        <v>0.001777293052554461</v>
      </c>
      <c r="G571" s="281">
        <f t="shared" si="84"/>
        <v>0.01742806721669222</v>
      </c>
      <c r="H571" s="282">
        <f>C571*Conversions!$B$50</f>
        <v>1.7428067216692222</v>
      </c>
      <c r="K571">
        <f t="shared" si="85"/>
        <v>3</v>
      </c>
    </row>
    <row r="572" spans="1:11" ht="15">
      <c r="A572" s="639">
        <f t="shared" si="83"/>
        <v>143000</v>
      </c>
      <c r="B572" s="640">
        <f t="shared" si="86"/>
        <v>42900</v>
      </c>
      <c r="C572" s="576">
        <f t="shared" si="82"/>
        <v>0.05078503916294255</v>
      </c>
      <c r="D572" s="278">
        <f>C572*Conversions!$B$53</f>
        <v>1.289939987949583</v>
      </c>
      <c r="E572" s="279">
        <f>C572*Conversions!$B$59</f>
        <v>0.024943365872246145</v>
      </c>
      <c r="F572" s="280">
        <f>H572*Conversions!$D$67</f>
        <v>0.001753809196774085</v>
      </c>
      <c r="G572" s="281">
        <f t="shared" si="84"/>
        <v>0.01719778543144625</v>
      </c>
      <c r="H572" s="282">
        <f>C572*Conversions!$B$50</f>
        <v>1.719778543144625</v>
      </c>
      <c r="K572">
        <f t="shared" si="85"/>
        <v>3</v>
      </c>
    </row>
    <row r="573" spans="1:11" ht="15">
      <c r="A573" s="639">
        <f t="shared" si="83"/>
        <v>143333.33333333334</v>
      </c>
      <c r="B573" s="640">
        <f t="shared" si="86"/>
        <v>43000</v>
      </c>
      <c r="C573" s="576">
        <f t="shared" si="82"/>
        <v>0.050114728553040236</v>
      </c>
      <c r="D573" s="278">
        <f>C573*Conversions!$B$53</f>
        <v>1.2729140985476741</v>
      </c>
      <c r="E573" s="279">
        <f>C573*Conversions!$B$59</f>
        <v>0.02461413893717976</v>
      </c>
      <c r="F573" s="280">
        <f>H573*Conversions!$D$67</f>
        <v>0.0017306607079333053</v>
      </c>
      <c r="G573" s="281">
        <f t="shared" si="84"/>
        <v>0.016970792241492512</v>
      </c>
      <c r="H573" s="282">
        <f>C573*Conversions!$B$50</f>
        <v>1.6970792241492512</v>
      </c>
      <c r="K573">
        <f t="shared" si="85"/>
        <v>3</v>
      </c>
    </row>
    <row r="574" spans="1:11" ht="15">
      <c r="A574" s="639">
        <f t="shared" si="83"/>
        <v>143666.6666666667</v>
      </c>
      <c r="B574" s="640">
        <f t="shared" si="86"/>
        <v>43100</v>
      </c>
      <c r="C574" s="576">
        <f t="shared" si="82"/>
        <v>0.049453980133526816</v>
      </c>
      <c r="D574" s="278">
        <f>C574*Conversions!$B$53</f>
        <v>1.256131088780365</v>
      </c>
      <c r="E574" s="279">
        <f>C574*Conversions!$B$59</f>
        <v>0.024289608527258214</v>
      </c>
      <c r="F574" s="280">
        <f>H574*Conversions!$D$67</f>
        <v>0.0017078424395220412</v>
      </c>
      <c r="G574" s="281">
        <f t="shared" si="84"/>
        <v>0.01674703718035138</v>
      </c>
      <c r="H574" s="282">
        <f>C574*Conversions!$B$50</f>
        <v>1.6747037180351378</v>
      </c>
      <c r="K574">
        <f t="shared" si="85"/>
        <v>3</v>
      </c>
    </row>
    <row r="575" spans="1:11" ht="15">
      <c r="A575" s="639">
        <f t="shared" si="83"/>
        <v>144000</v>
      </c>
      <c r="B575" s="640">
        <f t="shared" si="86"/>
        <v>43200</v>
      </c>
      <c r="C575" s="576">
        <f t="shared" si="82"/>
        <v>0.048802647322307026</v>
      </c>
      <c r="D575" s="278">
        <f>C575*Conversions!$B$53</f>
        <v>1.239587235462455</v>
      </c>
      <c r="E575" s="279">
        <f>C575*Conversions!$B$59</f>
        <v>0.023969702647837158</v>
      </c>
      <c r="F575" s="280">
        <f>H575*Conversions!$D$67</f>
        <v>0.001685349329478099</v>
      </c>
      <c r="G575" s="281">
        <f t="shared" si="84"/>
        <v>0.016526470609635958</v>
      </c>
      <c r="H575" s="282">
        <f>C575*Conversions!$B$50</f>
        <v>1.6526470609635957</v>
      </c>
      <c r="K575">
        <f t="shared" si="85"/>
        <v>3</v>
      </c>
    </row>
    <row r="576" spans="1:11" ht="15">
      <c r="A576" s="639">
        <f t="shared" si="83"/>
        <v>144333.33333333334</v>
      </c>
      <c r="B576" s="640">
        <f t="shared" si="86"/>
        <v>43300</v>
      </c>
      <c r="C576" s="576">
        <f t="shared" si="82"/>
        <v>0.04816058593992357</v>
      </c>
      <c r="D576" s="278">
        <f>C576*Conversions!$B$53</f>
        <v>1.2232788764357487</v>
      </c>
      <c r="E576" s="279">
        <f>C576*Conversions!$B$59</f>
        <v>0.023654350484341793</v>
      </c>
      <c r="F576" s="280">
        <f>H576*Conversions!$D$67</f>
        <v>0.0016631763987119204</v>
      </c>
      <c r="G576" s="281">
        <f t="shared" si="84"/>
        <v>0.016309043704585822</v>
      </c>
      <c r="H576" s="282">
        <f>C576*Conversions!$B$50</f>
        <v>1.6309043704585822</v>
      </c>
      <c r="K576">
        <f t="shared" si="85"/>
        <v>3</v>
      </c>
    </row>
    <row r="577" spans="1:11" ht="15">
      <c r="A577" s="639">
        <f t="shared" si="83"/>
        <v>144666.6666666667</v>
      </c>
      <c r="B577" s="640">
        <f t="shared" si="86"/>
        <v>43400</v>
      </c>
      <c r="C577" s="576">
        <f t="shared" si="82"/>
        <v>0.047527654167630905</v>
      </c>
      <c r="D577" s="278">
        <f>C577*Conversions!$B$53</f>
        <v>1.2072024095041283</v>
      </c>
      <c r="E577" s="279">
        <f>C577*Conversions!$B$59</f>
        <v>0.023343482381674562</v>
      </c>
      <c r="F577" s="280">
        <f>H577*Conversions!$D$67</f>
        <v>0.0016413187496587052</v>
      </c>
      <c r="G577" s="281">
        <f t="shared" si="84"/>
        <v>0.016094708439869182</v>
      </c>
      <c r="H577" s="282">
        <f>C577*Conversions!$B$50</f>
        <v>1.6094708439869183</v>
      </c>
      <c r="K577">
        <f t="shared" si="85"/>
        <v>3</v>
      </c>
    </row>
    <row r="578" spans="1:11" ht="15">
      <c r="A578" s="639">
        <f t="shared" si="83"/>
        <v>145000</v>
      </c>
      <c r="B578" s="640">
        <f t="shared" si="86"/>
        <v>43500</v>
      </c>
      <c r="C578" s="576">
        <f t="shared" si="82"/>
        <v>0.04690371250624274</v>
      </c>
      <c r="D578" s="278">
        <f>C578*Conversions!$B$53</f>
        <v>1.19135429138828</v>
      </c>
      <c r="E578" s="279">
        <f>C578*Conversions!$B$59</f>
        <v>0.023037029824002842</v>
      </c>
      <c r="F578" s="280">
        <f>H578*Conversions!$D$67</f>
        <v>0.00161977156485725</v>
      </c>
      <c r="G578" s="281">
        <f t="shared" si="84"/>
        <v>0.015883417575647037</v>
      </c>
      <c r="H578" s="282">
        <f>C578*Conversions!$B$50</f>
        <v>1.5883417575647036</v>
      </c>
      <c r="K578">
        <f t="shared" si="85"/>
        <v>3</v>
      </c>
    </row>
    <row r="579" spans="1:11" ht="15">
      <c r="A579" s="639">
        <f t="shared" si="83"/>
        <v>145333.33333333334</v>
      </c>
      <c r="B579" s="640">
        <f t="shared" si="86"/>
        <v>43600</v>
      </c>
      <c r="C579" s="576">
        <f t="shared" si="82"/>
        <v>0.04628862373574197</v>
      </c>
      <c r="D579" s="278">
        <f>C579*Conversions!$B$53</f>
        <v>1.175731036699788</v>
      </c>
      <c r="E579" s="279">
        <f>C579*Conversions!$B$59</f>
        <v>0.022734925414921163</v>
      </c>
      <c r="F579" s="280">
        <f>H579*Conversions!$D$67</f>
        <v>0.00159853010555512</v>
      </c>
      <c r="G579" s="281">
        <f t="shared" si="84"/>
        <v>0.01567512464389553</v>
      </c>
      <c r="H579" s="282">
        <f>C579*Conversions!$B$50</f>
        <v>1.5675124643895528</v>
      </c>
      <c r="K579">
        <f t="shared" si="85"/>
        <v>3</v>
      </c>
    </row>
    <row r="580" spans="1:11" ht="15">
      <c r="A580" s="639">
        <f t="shared" si="83"/>
        <v>145666.6666666667</v>
      </c>
      <c r="B580" s="640">
        <f t="shared" si="86"/>
        <v>43700</v>
      </c>
      <c r="C580" s="576">
        <f t="shared" si="82"/>
        <v>0.04568225287563599</v>
      </c>
      <c r="D580" s="278">
        <f>C580*Conversions!$B$53</f>
        <v>1.1603292169341584</v>
      </c>
      <c r="E580" s="279">
        <f>C580*Conversions!$B$59</f>
        <v>0.02243710285797946</v>
      </c>
      <c r="F580" s="280">
        <f>H580*Conversions!$D$67</f>
        <v>0.0015775897103395605</v>
      </c>
      <c r="G580" s="281">
        <f t="shared" si="84"/>
        <v>0.015469783934980734</v>
      </c>
      <c r="H580" s="282">
        <f>C580*Conversions!$B$50</f>
        <v>1.5469783934980734</v>
      </c>
      <c r="K580">
        <f t="shared" si="85"/>
        <v>3</v>
      </c>
    </row>
    <row r="581" spans="1:11" ht="15">
      <c r="A581" s="639">
        <f t="shared" si="83"/>
        <v>146000</v>
      </c>
      <c r="B581" s="640">
        <f t="shared" si="86"/>
        <v>43800</v>
      </c>
      <c r="C581" s="576">
        <f t="shared" si="82"/>
        <v>0.04508446714604393</v>
      </c>
      <c r="D581" s="278">
        <f>C581*Conversions!$B$53</f>
        <v>1.1451454594824346</v>
      </c>
      <c r="E581" s="279">
        <f>C581*Conversions!$B$59</f>
        <v>0.022143496937570863</v>
      </c>
      <c r="F581" s="280">
        <f>H581*Conversions!$D$67</f>
        <v>0.001556945793793684</v>
      </c>
      <c r="G581" s="281">
        <f t="shared" si="84"/>
        <v>0.015267350484481272</v>
      </c>
      <c r="H581" s="282">
        <f>C581*Conversions!$B$50</f>
        <v>1.5267350484481272</v>
      </c>
      <c r="K581">
        <f t="shared" si="85"/>
        <v>3</v>
      </c>
    </row>
    <row r="582" spans="1:11" ht="15">
      <c r="A582" s="639">
        <f t="shared" si="83"/>
        <v>146333.33333333334</v>
      </c>
      <c r="B582" s="640">
        <f t="shared" si="86"/>
        <v>43900</v>
      </c>
      <c r="C582" s="576">
        <f t="shared" si="82"/>
        <v>0.04449513592949996</v>
      </c>
      <c r="D582" s="278">
        <f>C582*Conversions!$B$53</f>
        <v>1.130176446661002</v>
      </c>
      <c r="E582" s="279">
        <f>C582*Conversions!$B$59</f>
        <v>0.02185404350017116</v>
      </c>
      <c r="F582" s="280">
        <f>H582*Conversions!$D$67</f>
        <v>0.0015365938451773861</v>
      </c>
      <c r="G582" s="281">
        <f t="shared" si="84"/>
        <v>0.015067780060253423</v>
      </c>
      <c r="H582" s="282">
        <f>C582*Conversions!$B$50</f>
        <v>1.5067780060253424</v>
      </c>
      <c r="K582">
        <f t="shared" si="85"/>
        <v>3</v>
      </c>
    </row>
    <row r="583" spans="1:11" ht="15">
      <c r="A583" s="639">
        <f t="shared" si="83"/>
        <v>146666.6666666667</v>
      </c>
      <c r="B583" s="640">
        <f t="shared" si="86"/>
        <v>44000</v>
      </c>
      <c r="C583" s="576">
        <f t="shared" si="82"/>
        <v>0.04391413073346065</v>
      </c>
      <c r="D583" s="278">
        <f>C583*Conversions!$B$53</f>
        <v>1.1154189147592748</v>
      </c>
      <c r="E583" s="279">
        <f>C583*Conversions!$B$59</f>
        <v>0.02156867943592408</v>
      </c>
      <c r="F583" s="280">
        <f>H583*Conversions!$D$67</f>
        <v>0.0015165294271325773</v>
      </c>
      <c r="G583" s="281">
        <f t="shared" si="84"/>
        <v>0.014871029149734672</v>
      </c>
      <c r="H583" s="282">
        <f>C583*Conversions!$B$50</f>
        <v>1.4871029149734671</v>
      </c>
      <c r="K583">
        <f t="shared" si="85"/>
        <v>3</v>
      </c>
    </row>
    <row r="584" spans="1:11" ht="15">
      <c r="A584" s="639">
        <f t="shared" si="83"/>
        <v>147000</v>
      </c>
      <c r="B584" s="640">
        <f t="shared" si="86"/>
        <v>44100</v>
      </c>
      <c r="C584" s="576">
        <f t="shared" si="82"/>
        <v>0.04334132515350118</v>
      </c>
      <c r="D584" s="278">
        <f>C584*Conversions!$B$53</f>
        <v>1.1008696531048792</v>
      </c>
      <c r="E584" s="279">
        <f>C584*Conversions!$B$59</f>
        <v>0.02128734266056487</v>
      </c>
      <c r="F584" s="280">
        <f>H584*Conversions!$D$67</f>
        <v>0.0014967481744121997</v>
      </c>
      <c r="G584" s="281">
        <f t="shared" si="84"/>
        <v>0.01467705494748051</v>
      </c>
      <c r="H584" s="282">
        <f>C584*Conversions!$B$50</f>
        <v>1.467705494748051</v>
      </c>
      <c r="K584">
        <f t="shared" si="85"/>
        <v>3</v>
      </c>
    </row>
    <row r="585" spans="1:11" ht="15">
      <c r="A585" s="639">
        <f t="shared" si="83"/>
        <v>147333.33333333334</v>
      </c>
      <c r="B585" s="640">
        <f t="shared" si="86"/>
        <v>44200</v>
      </c>
      <c r="C585" s="576">
        <f t="shared" si="82"/>
        <v>0.042776594837188375</v>
      </c>
      <c r="D585" s="278">
        <f>C585*Conversions!$B$53</f>
        <v>1.0865255031460295</v>
      </c>
      <c r="E585" s="279">
        <f>C585*Conversions!$B$59</f>
        <v>0.02100997209767638</v>
      </c>
      <c r="F585" s="280">
        <f>H585*Conversions!$D$67</f>
        <v>0.0014772457926326217</v>
      </c>
      <c r="G585" s="281">
        <f t="shared" si="84"/>
        <v>0.014485815342930452</v>
      </c>
      <c r="H585" s="282">
        <f>C585*Conversions!$B$50</f>
        <v>1.4485815342930453</v>
      </c>
      <c r="K585">
        <f t="shared" si="85"/>
        <v>3</v>
      </c>
    </row>
    <row r="586" spans="1:11" ht="15">
      <c r="A586" s="639">
        <f t="shared" si="83"/>
        <v>147666.6666666667</v>
      </c>
      <c r="B586" s="640">
        <f t="shared" si="86"/>
        <v>44300</v>
      </c>
      <c r="C586" s="576">
        <f t="shared" si="82"/>
        <v>0.04221981744861544</v>
      </c>
      <c r="D586" s="278">
        <f>C586*Conversions!$B$53</f>
        <v>1.0723833575507093</v>
      </c>
      <c r="E586" s="279">
        <f>C586*Conversions!$B$59</f>
        <v>0.020736507661270033</v>
      </c>
      <c r="F586" s="280">
        <f>H586*Conversions!$D$67</f>
        <v>0.0014580180570488792</v>
      </c>
      <c r="G586" s="281">
        <f t="shared" si="84"/>
        <v>0.014297268908398109</v>
      </c>
      <c r="H586" s="282">
        <f>C586*Conversions!$B$50</f>
        <v>1.4297268908398109</v>
      </c>
      <c r="K586">
        <f t="shared" si="85"/>
        <v>3</v>
      </c>
    </row>
    <row r="587" spans="1:11" ht="15">
      <c r="A587" s="639">
        <f t="shared" si="83"/>
        <v>148000</v>
      </c>
      <c r="B587" s="640">
        <f t="shared" si="86"/>
        <v>44400</v>
      </c>
      <c r="C587" s="576">
        <f aca="true" t="shared" si="87" ref="C587:C605">C$21*((D$21/(D$21+(E$21*(A587-B$21))))^((G$18*H$18)/(F$18*E$21)))</f>
        <v>0.041670872633588533</v>
      </c>
      <c r="D587" s="278">
        <f>C587*Conversions!$B$53</f>
        <v>1.058440159322411</v>
      </c>
      <c r="E587" s="279">
        <f>C587*Conversions!$B$59</f>
        <v>0.020466890238687044</v>
      </c>
      <c r="F587" s="280">
        <f>H587*Conversions!$D$67</f>
        <v>0.001439060811352431</v>
      </c>
      <c r="G587" s="281">
        <f t="shared" si="84"/>
        <v>0.014111374887282013</v>
      </c>
      <c r="H587" s="282">
        <f>C587*Conversions!$B$50</f>
        <v>1.4111374887282013</v>
      </c>
      <c r="K587">
        <f t="shared" si="85"/>
        <v>3</v>
      </c>
    </row>
    <row r="588" spans="1:11" ht="15">
      <c r="A588" s="639">
        <f t="shared" si="83"/>
        <v>148333.33333333334</v>
      </c>
      <c r="B588" s="640">
        <f t="shared" si="86"/>
        <v>44500</v>
      </c>
      <c r="C588" s="576">
        <f t="shared" si="87"/>
        <v>0.04112964198544854</v>
      </c>
      <c r="D588" s="278">
        <f>C588*Conversions!$B$53</f>
        <v>1.0446929009320092</v>
      </c>
      <c r="E588" s="279">
        <f>C588*Conversions!$B$59</f>
        <v>0.020201061673811586</v>
      </c>
      <c r="F588" s="280">
        <f>H588*Conversions!$D$67</f>
        <v>0.001420369966490849</v>
      </c>
      <c r="G588" s="281">
        <f t="shared" si="84"/>
        <v>0.013928093182491557</v>
      </c>
      <c r="H588" s="282">
        <f>C588*Conversions!$B$50</f>
        <v>1.3928093182491557</v>
      </c>
      <c r="K588">
        <f t="shared" si="85"/>
        <v>3</v>
      </c>
    </row>
    <row r="589" spans="1:11" ht="15">
      <c r="A589" s="639">
        <f t="shared" si="83"/>
        <v>148666.6666666667</v>
      </c>
      <c r="B589" s="640">
        <f t="shared" si="86"/>
        <v>44600</v>
      </c>
      <c r="C589" s="576">
        <f t="shared" si="87"/>
        <v>0.0405960090115204</v>
      </c>
      <c r="D589" s="278">
        <f>C589*Conversions!$B$53</f>
        <v>1.0311386234655728</v>
      </c>
      <c r="E589" s="279">
        <f>C589*Conversions!$B$59</f>
        <v>0.01993896475059218</v>
      </c>
      <c r="F589" s="280">
        <f>H589*Conversions!$D$67</f>
        <v>0.0014019414995091798</v>
      </c>
      <c r="G589" s="281">
        <f t="shared" si="84"/>
        <v>0.013747384345085416</v>
      </c>
      <c r="H589" s="282">
        <f>C589*Conversions!$B$50</f>
        <v>1.3747384345085416</v>
      </c>
      <c r="K589">
        <f t="shared" si="85"/>
        <v>3</v>
      </c>
    </row>
    <row r="590" spans="1:11" ht="15">
      <c r="A590" s="639">
        <f t="shared" si="83"/>
        <v>149000</v>
      </c>
      <c r="B590" s="640">
        <f t="shared" si="86"/>
        <v>44700</v>
      </c>
      <c r="C590" s="576">
        <f t="shared" si="87"/>
        <v>0.04006985910017344</v>
      </c>
      <c r="D590" s="278">
        <f>C590*Conversions!$B$53</f>
        <v>1.017774415787698</v>
      </c>
      <c r="E590" s="279">
        <f>C590*Conversions!$B$59</f>
        <v>0.019680543176863168</v>
      </c>
      <c r="F590" s="280">
        <f>H590*Conversions!$D$67</f>
        <v>0.001383771452412406</v>
      </c>
      <c r="G590" s="281">
        <f t="shared" si="84"/>
        <v>0.013569209563116906</v>
      </c>
      <c r="H590" s="282">
        <f>C590*Conversions!$B$50</f>
        <v>1.3569209563116906</v>
      </c>
      <c r="K590">
        <f t="shared" si="85"/>
        <v>3</v>
      </c>
    </row>
    <row r="591" spans="1:11" ht="15">
      <c r="A591" s="639">
        <f t="shared" si="83"/>
        <v>149333.33333333334</v>
      </c>
      <c r="B591" s="640">
        <f t="shared" si="86"/>
        <v>44800</v>
      </c>
      <c r="C591" s="576">
        <f t="shared" si="87"/>
        <v>0.0395510794884843</v>
      </c>
      <c r="D591" s="278">
        <f>C591*Conversions!$B$53</f>
        <v>1.0045974137201463</v>
      </c>
      <c r="E591" s="279">
        <f>C591*Conversions!$B$59</f>
        <v>0.019425741568462197</v>
      </c>
      <c r="F591" s="280">
        <f>H591*Conversions!$D$67</f>
        <v>0.0013658559310487203</v>
      </c>
      <c r="G591" s="281">
        <f t="shared" si="84"/>
        <v>0.013393530650683399</v>
      </c>
      <c r="H591" s="282">
        <f>C591*Conversions!$B$50</f>
        <v>1.3393530650683398</v>
      </c>
      <c r="K591">
        <f t="shared" si="85"/>
        <v>3</v>
      </c>
    </row>
    <row r="592" spans="1:11" ht="15">
      <c r="A592" s="639">
        <f t="shared" si="83"/>
        <v>149666.6666666667</v>
      </c>
      <c r="B592" s="640">
        <f t="shared" si="86"/>
        <v>44900</v>
      </c>
      <c r="C592" s="576">
        <f t="shared" si="87"/>
        <v>0.0390395592304887</v>
      </c>
      <c r="D592" s="278">
        <f>C592*Conversions!$B$53</f>
        <v>0.9916047992354404</v>
      </c>
      <c r="E592" s="279">
        <f>C592*Conversions!$B$59</f>
        <v>0.01917450543363688</v>
      </c>
      <c r="F592" s="280">
        <f>H592*Conversions!$D$67</f>
        <v>0.0013481911040131326</v>
      </c>
      <c r="G592" s="281">
        <f t="shared" si="84"/>
        <v>0.013220310037175132</v>
      </c>
      <c r="H592" s="282">
        <f>C592*Conversions!$B$50</f>
        <v>1.3220310037175131</v>
      </c>
      <c r="K592">
        <f t="shared" si="85"/>
        <v>3</v>
      </c>
    </row>
    <row r="593" spans="1:11" ht="15">
      <c r="A593" s="639">
        <f aca="true" t="shared" si="88" ref="A593:A668">B593*(1/0.3)</f>
        <v>150000</v>
      </c>
      <c r="B593" s="640">
        <f t="shared" si="86"/>
        <v>45000</v>
      </c>
      <c r="C593" s="576">
        <f t="shared" si="87"/>
        <v>0.03853518916601214</v>
      </c>
      <c r="D593" s="278">
        <f>C593*Conversions!$B$53</f>
        <v>0.9787937996651621</v>
      </c>
      <c r="E593" s="279">
        <f>C593*Conversions!$B$59</f>
        <v>0.018926781157735818</v>
      </c>
      <c r="F593" s="280">
        <f>H593*Conversions!$D$67</f>
        <v>0.0013307732015710688</v>
      </c>
      <c r="G593" s="281">
        <f aca="true" t="shared" si="89" ref="G593:G668">H593/100</f>
        <v>0.013049510756720072</v>
      </c>
      <c r="H593" s="282">
        <f>C593*Conversions!$B$50</f>
        <v>1.3049510756720073</v>
      </c>
      <c r="K593">
        <f aca="true" t="shared" si="90" ref="K593:K643">K592</f>
        <v>3</v>
      </c>
    </row>
    <row r="594" spans="1:11" ht="15">
      <c r="A594" s="639">
        <f t="shared" si="88"/>
        <v>150333.33333333334</v>
      </c>
      <c r="B594" s="640">
        <f t="shared" si="86"/>
        <v>45100</v>
      </c>
      <c r="C594" s="576">
        <f t="shared" si="87"/>
        <v>0.03803786189006669</v>
      </c>
      <c r="D594" s="278">
        <f>C594*Conversions!$B$53</f>
        <v>0.9661616869226326</v>
      </c>
      <c r="E594" s="279">
        <f>C594*Conversions!$B$59</f>
        <v>0.01868251598817764</v>
      </c>
      <c r="F594" s="280">
        <f>H594*Conversions!$D$67</f>
        <v>0.0013135985146015216</v>
      </c>
      <c r="G594" s="281">
        <f t="shared" si="89"/>
        <v>0.012881096437820492</v>
      </c>
      <c r="H594" s="282">
        <f>C594*Conversions!$B$50</f>
        <v>1.2881096437820492</v>
      </c>
      <c r="K594">
        <f t="shared" si="90"/>
        <v>3</v>
      </c>
    </row>
    <row r="595" spans="1:11" ht="15">
      <c r="A595" s="639">
        <f t="shared" si="88"/>
        <v>150666.6666666667</v>
      </c>
      <c r="B595" s="640">
        <f t="shared" si="86"/>
        <v>45200</v>
      </c>
      <c r="C595" s="576">
        <f t="shared" si="87"/>
        <v>0.03754747172280485</v>
      </c>
      <c r="D595" s="278">
        <f>C595*Conversions!$B$53</f>
        <v>0.9537057767397391</v>
      </c>
      <c r="E595" s="279">
        <f>C595*Conversions!$B$59</f>
        <v>0.01844165801969369</v>
      </c>
      <c r="F595" s="280">
        <f>H595*Conversions!$D$67</f>
        <v>0.0012966633935594378</v>
      </c>
      <c r="G595" s="281">
        <f t="shared" si="89"/>
        <v>0.012715031293178167</v>
      </c>
      <c r="H595" s="282">
        <f>C595*Conversions!$B$50</f>
        <v>1.2715031293178167</v>
      </c>
      <c r="K595">
        <f t="shared" si="90"/>
        <v>3</v>
      </c>
    </row>
    <row r="596" spans="1:11" ht="15">
      <c r="A596" s="639">
        <f t="shared" si="88"/>
        <v>151000</v>
      </c>
      <c r="B596" s="640">
        <f t="shared" si="86"/>
        <v>45300</v>
      </c>
      <c r="C596" s="576">
        <f t="shared" si="87"/>
        <v>0.03706391468001914</v>
      </c>
      <c r="D596" s="278">
        <f>C596*Conversions!$B$53</f>
        <v>0.9414234279176261</v>
      </c>
      <c r="E596" s="279">
        <f>C596*Conversions!$B$59</f>
        <v>0.018204156179838726</v>
      </c>
      <c r="F596" s="280">
        <f>H596*Conversions!$D$67</f>
        <v>0.0012799642474569516</v>
      </c>
      <c r="G596" s="281">
        <f t="shared" si="89"/>
        <v>0.012551280109704403</v>
      </c>
      <c r="H596" s="282">
        <f>C596*Conversions!$B$50</f>
        <v>1.2551280109704404</v>
      </c>
      <c r="K596">
        <f t="shared" si="90"/>
        <v>3</v>
      </c>
    </row>
    <row r="597" spans="1:11" ht="15">
      <c r="A597" s="639">
        <f t="shared" si="88"/>
        <v>151333.33333333334</v>
      </c>
      <c r="B597" s="640">
        <f t="shared" si="86"/>
        <v>45400</v>
      </c>
      <c r="C597" s="576">
        <f t="shared" si="87"/>
        <v>0.03658708844417534</v>
      </c>
      <c r="D597" s="278">
        <f>C597*Conversions!$B$53</f>
        <v>0.9293120415909376</v>
      </c>
      <c r="E597" s="279">
        <f>C597*Conversions!$B$59</f>
        <v>0.01796996021476371</v>
      </c>
      <c r="F597" s="280">
        <f>H597*Conversions!$D$67</f>
        <v>0.0012634975428630474</v>
      </c>
      <c r="G597" s="281">
        <f t="shared" si="89"/>
        <v>0.012389808238710758</v>
      </c>
      <c r="H597" s="282">
        <f>C597*Conversions!$B$50</f>
        <v>1.2389808238710758</v>
      </c>
      <c r="K597">
        <f t="shared" si="90"/>
        <v>3</v>
      </c>
    </row>
    <row r="598" spans="1:11" ht="15">
      <c r="A598" s="639">
        <f t="shared" si="88"/>
        <v>151666.6666666667</v>
      </c>
      <c r="B598" s="640">
        <f t="shared" si="86"/>
        <v>45500</v>
      </c>
      <c r="C598" s="576">
        <f t="shared" si="87"/>
        <v>0.036116892335972484</v>
      </c>
      <c r="D598" s="278">
        <f>C598*Conversions!$B$53</f>
        <v>0.917369060505443</v>
      </c>
      <c r="E598" s="279">
        <f>C598*Conversions!$B$59</f>
        <v>0.017739020675247352</v>
      </c>
      <c r="F598" s="280">
        <f>H598*Conversions!$D$67</f>
        <v>0.0012472598029214135</v>
      </c>
      <c r="G598" s="281">
        <f t="shared" si="89"/>
        <v>0.012230581586278157</v>
      </c>
      <c r="H598" s="282">
        <f>C598*Conversions!$B$50</f>
        <v>1.2230581586278158</v>
      </c>
      <c r="K598">
        <f t="shared" si="90"/>
        <v>3</v>
      </c>
    </row>
    <row r="599" spans="1:11" ht="15">
      <c r="A599" s="639">
        <f t="shared" si="88"/>
        <v>152000</v>
      </c>
      <c r="B599" s="640">
        <f t="shared" si="86"/>
        <v>45600</v>
      </c>
      <c r="C599" s="576">
        <f t="shared" si="87"/>
        <v>0.035653227286415796</v>
      </c>
      <c r="D599" s="278">
        <f>C599*Conversions!$B$53</f>
        <v>0.9055919683086878</v>
      </c>
      <c r="E599" s="279">
        <f>C599*Conversions!$B$59</f>
        <v>0.017511288902979573</v>
      </c>
      <c r="F599" s="280">
        <f>H599*Conversions!$D$67</f>
        <v>0.0012312476063860095</v>
      </c>
      <c r="G599" s="281">
        <f t="shared" si="89"/>
        <v>0.012073566603799707</v>
      </c>
      <c r="H599" s="282">
        <f>C599*Conversions!$B$50</f>
        <v>1.2073566603799708</v>
      </c>
      <c r="K599">
        <f t="shared" si="90"/>
        <v>3</v>
      </c>
    </row>
    <row r="600" spans="1:11" ht="15">
      <c r="A600" s="639">
        <f t="shared" si="88"/>
        <v>152333.33333333334</v>
      </c>
      <c r="B600" s="640">
        <f t="shared" si="86"/>
        <v>45700</v>
      </c>
      <c r="C600" s="576">
        <f t="shared" si="87"/>
        <v>0.03519599580939592</v>
      </c>
      <c r="D600" s="278">
        <f>C600*Conversions!$B$53</f>
        <v>0.8939782888535075</v>
      </c>
      <c r="E600" s="279">
        <f>C600*Conversions!$B$59</f>
        <v>0.01728671701709361</v>
      </c>
      <c r="F600" s="280">
        <f>H600*Conversions!$D$67</f>
        <v>0.0012154575866741178</v>
      </c>
      <c r="G600" s="281">
        <f t="shared" si="89"/>
        <v>0.011918730278694953</v>
      </c>
      <c r="H600" s="282">
        <f>C600*Conversions!$B$50</f>
        <v>1.1918730278694953</v>
      </c>
      <c r="K600">
        <f t="shared" si="90"/>
        <v>3</v>
      </c>
    </row>
    <row r="601" spans="1:11" ht="15">
      <c r="A601" s="639">
        <f t="shared" si="88"/>
        <v>152666.6666666667</v>
      </c>
      <c r="B601" s="640">
        <f t="shared" si="86"/>
        <v>45800</v>
      </c>
      <c r="C601" s="576">
        <f t="shared" si="87"/>
        <v>0.034745101974762146</v>
      </c>
      <c r="D601" s="278">
        <f>C601*Conversions!$B$53</f>
        <v>0.8825255855140871</v>
      </c>
      <c r="E601" s="279">
        <f>C601*Conversions!$B$59</f>
        <v>0.01706525790094082</v>
      </c>
      <c r="F601" s="280">
        <f>H601*Conversions!$D$67</f>
        <v>0.0011998864309364556</v>
      </c>
      <c r="G601" s="281">
        <f t="shared" si="89"/>
        <v>0.01176604012529143</v>
      </c>
      <c r="H601" s="282">
        <f>C601*Conversions!$B$50</f>
        <v>1.176604012529143</v>
      </c>
      <c r="K601">
        <f t="shared" si="90"/>
        <v>3</v>
      </c>
    </row>
    <row r="602" spans="1:11" ht="15">
      <c r="A602" s="639">
        <f t="shared" si="88"/>
        <v>153000</v>
      </c>
      <c r="B602" s="640">
        <f aca="true" t="shared" si="91" ref="B602:B637">B601+100</f>
        <v>45900</v>
      </c>
      <c r="C602" s="576">
        <f t="shared" si="87"/>
        <v>0.03430045138188298</v>
      </c>
      <c r="D602" s="278">
        <f>C602*Conversions!$B$53</f>
        <v>0.871231460514399</v>
      </c>
      <c r="E602" s="279">
        <f>C602*Conversions!$B$59</f>
        <v>0.016846865189104745</v>
      </c>
      <c r="F602" s="280">
        <f>H602*Conversions!$D$67</f>
        <v>0.0011845308791441165</v>
      </c>
      <c r="G602" s="281">
        <f t="shared" si="89"/>
        <v>0.011615464175871247</v>
      </c>
      <c r="H602" s="282">
        <f>C602*Conversions!$B$50</f>
        <v>1.1615464175871246</v>
      </c>
      <c r="K602">
        <f t="shared" si="90"/>
        <v>3</v>
      </c>
    </row>
    <row r="603" spans="1:11" ht="15">
      <c r="A603" s="639">
        <f t="shared" si="88"/>
        <v>153333.33333333334</v>
      </c>
      <c r="B603" s="640">
        <f t="shared" si="91"/>
        <v>46000</v>
      </c>
      <c r="C603" s="576">
        <f t="shared" si="87"/>
        <v>0.03386195113368131</v>
      </c>
      <c r="D603" s="278">
        <f>C603*Conversions!$B$53</f>
        <v>0.8600935542686972</v>
      </c>
      <c r="E603" s="279">
        <f>C603*Conversions!$B$59</f>
        <v>0.016631493254648386</v>
      </c>
      <c r="F603" s="280">
        <f>H603*Conversions!$D$67</f>
        <v>0.0011693877231919014</v>
      </c>
      <c r="G603" s="281">
        <f t="shared" si="89"/>
        <v>0.011466970971878387</v>
      </c>
      <c r="H603" s="282">
        <f>C603*Conversions!$B$50</f>
        <v>1.1466970971878387</v>
      </c>
      <c r="K603">
        <f t="shared" si="90"/>
        <v>3</v>
      </c>
    </row>
    <row r="604" spans="1:11" ht="15">
      <c r="A604" s="639">
        <f t="shared" si="88"/>
        <v>153666.6666666667</v>
      </c>
      <c r="B604" s="640">
        <f t="shared" si="91"/>
        <v>46100</v>
      </c>
      <c r="C604" s="576">
        <f t="shared" si="87"/>
        <v>0.03342950981113893</v>
      </c>
      <c r="D604" s="278">
        <f>C604*Conversions!$B$53</f>
        <v>0.8491095447339313</v>
      </c>
      <c r="E604" s="279">
        <f>C604*Conversions!$B$59</f>
        <v>0.016419097196591913</v>
      </c>
      <c r="F604" s="280">
        <f>H604*Conversions!$D$67</f>
        <v>0.001154453806017857</v>
      </c>
      <c r="G604" s="281">
        <f t="shared" si="89"/>
        <v>0.011320529555284946</v>
      </c>
      <c r="H604" s="282">
        <f>C604*Conversions!$B$50</f>
        <v>1.1320529555284946</v>
      </c>
      <c r="K604">
        <f t="shared" si="90"/>
        <v>3</v>
      </c>
    </row>
    <row r="605" spans="1:11" ht="15">
      <c r="A605" s="644">
        <f t="shared" si="88"/>
        <v>154000</v>
      </c>
      <c r="B605" s="645">
        <f t="shared" si="91"/>
        <v>46200</v>
      </c>
      <c r="C605" s="569">
        <f t="shared" si="87"/>
        <v>0.03300303744825832</v>
      </c>
      <c r="D605" s="646">
        <f>C605*Conversions!$B$53</f>
        <v>0.8382771467737764</v>
      </c>
      <c r="E605" s="647">
        <f>C605*Conversions!$B$59</f>
        <v>0.01620963282761502</v>
      </c>
      <c r="F605" s="648">
        <f>H605*Conversions!$D$67</f>
        <v>0.0011397260207386096</v>
      </c>
      <c r="G605" s="649">
        <f t="shared" si="89"/>
        <v>0.011176109460112223</v>
      </c>
      <c r="H605" s="650">
        <f>C605*Conversions!$B$50</f>
        <v>1.1176109460112222</v>
      </c>
      <c r="I605" s="578"/>
      <c r="J605" s="651"/>
      <c r="K605" s="652">
        <f t="shared" si="90"/>
        <v>3</v>
      </c>
    </row>
    <row r="606" spans="1:11" ht="15">
      <c r="A606" s="653">
        <f t="shared" si="88"/>
        <v>154333.33333333334</v>
      </c>
      <c r="B606" s="654">
        <f t="shared" si="91"/>
        <v>46300</v>
      </c>
      <c r="C606" s="576">
        <f>C$22*EXP((-G$18*H$18*(A606-B$22))/(F$18*D$22))</f>
        <v>0.032582298437342117</v>
      </c>
      <c r="D606" s="573">
        <f>C606*Conversions!$B$53</f>
        <v>0.827590375952751</v>
      </c>
      <c r="E606" s="380">
        <f>C606*Conversions!$B$59</f>
        <v>0.01600298442763372</v>
      </c>
      <c r="F606" s="655">
        <f>H606*Conversions!$D$67</f>
        <v>0.0011251962308841813</v>
      </c>
      <c r="G606" s="656">
        <f t="shared" si="89"/>
        <v>0.011033630900449011</v>
      </c>
      <c r="H606" s="574">
        <f>C606*Conversions!$B$50</f>
        <v>1.1033630900449012</v>
      </c>
      <c r="K606" s="657">
        <f>K605+1</f>
        <v>4</v>
      </c>
    </row>
    <row r="607" spans="1:11" ht="15">
      <c r="A607" s="639">
        <f t="shared" si="88"/>
        <v>154666.6666666667</v>
      </c>
      <c r="B607" s="640">
        <f t="shared" si="91"/>
        <v>46400</v>
      </c>
      <c r="C607" s="576">
        <f aca="true" t="shared" si="92" ref="C607:C643">C$22*EXP((-G$18*H$18*(A607-B$22))/(F$18*D$22))</f>
        <v>0.03216711116120028</v>
      </c>
      <c r="D607" s="278">
        <f>C607*Conversions!$B$53</f>
        <v>0.8170446191942523</v>
      </c>
      <c r="E607" s="279">
        <f>C607*Conversions!$B$59</f>
        <v>0.01579906279431412</v>
      </c>
      <c r="F607" s="280">
        <f>H607*Conversions!$D$67</f>
        <v>0.0011108581644913437</v>
      </c>
      <c r="G607" s="281">
        <f t="shared" si="89"/>
        <v>0.010893032373665477</v>
      </c>
      <c r="H607" s="282">
        <f>C607*Conversions!$B$50</f>
        <v>1.0893032373665477</v>
      </c>
      <c r="J607" s="517">
        <v>0</v>
      </c>
      <c r="K607">
        <f t="shared" si="90"/>
        <v>4</v>
      </c>
    </row>
    <row r="608" spans="1:11" ht="15">
      <c r="A608" s="639">
        <f t="shared" si="88"/>
        <v>155000</v>
      </c>
      <c r="B608" s="640">
        <f t="shared" si="91"/>
        <v>46500</v>
      </c>
      <c r="C608" s="576">
        <f t="shared" si="92"/>
        <v>0.031757214502434704</v>
      </c>
      <c r="D608" s="278">
        <f>C608*Conversions!$B$53</f>
        <v>0.8066332441164034</v>
      </c>
      <c r="E608" s="279">
        <f>C608*Conversions!$B$59</f>
        <v>0.015597739678335084</v>
      </c>
      <c r="F608" s="280">
        <f>H608*Conversions!$D$67</f>
        <v>0.0010967028041387892</v>
      </c>
      <c r="G608" s="281">
        <f t="shared" si="89"/>
        <v>0.010754225455275601</v>
      </c>
      <c r="H608" s="282">
        <f>C608*Conversions!$B$50</f>
        <v>1.0754225455275601</v>
      </c>
      <c r="J608" s="517">
        <v>36089</v>
      </c>
      <c r="K608">
        <f t="shared" si="90"/>
        <v>4</v>
      </c>
    </row>
    <row r="609" spans="1:11" ht="15">
      <c r="A609" s="639">
        <f t="shared" si="88"/>
        <v>155333.33333333334</v>
      </c>
      <c r="B609" s="640">
        <f t="shared" si="91"/>
        <v>46600</v>
      </c>
      <c r="C609" s="576">
        <f t="shared" si="92"/>
        <v>0.03135254104416183</v>
      </c>
      <c r="D609" s="278">
        <f>C609*Conversions!$B$53</f>
        <v>0.7963545383303708</v>
      </c>
      <c r="E609" s="279">
        <f>C609*Conversions!$B$59</f>
        <v>0.015398981967504118</v>
      </c>
      <c r="F609" s="280">
        <f>H609*Conversions!$D$67</f>
        <v>0.0010827278216536478</v>
      </c>
      <c r="G609" s="281">
        <f t="shared" si="89"/>
        <v>0.010617187315305898</v>
      </c>
      <c r="H609" s="282">
        <f>C609*Conversions!$B$50</f>
        <v>1.0617187315305898</v>
      </c>
      <c r="J609" s="517">
        <v>65617</v>
      </c>
      <c r="K609">
        <f t="shared" si="90"/>
        <v>4</v>
      </c>
    </row>
    <row r="610" spans="1:11" ht="15">
      <c r="A610" s="639">
        <f t="shared" si="88"/>
        <v>155666.6666666667</v>
      </c>
      <c r="B610" s="640">
        <f t="shared" si="91"/>
        <v>46700</v>
      </c>
      <c r="C610" s="576">
        <f t="shared" si="92"/>
        <v>0.03095302422857304</v>
      </c>
      <c r="D610" s="278">
        <f>C610*Conversions!$B$53</f>
        <v>0.7862068112678248</v>
      </c>
      <c r="E610" s="279">
        <f>C610*Conversions!$B$59</f>
        <v>0.015202756971568357</v>
      </c>
      <c r="F610" s="280">
        <f>H610*Conversions!$D$67</f>
        <v>0.0010689309185303202</v>
      </c>
      <c r="G610" s="281">
        <f t="shared" si="89"/>
        <v>0.010481895414698992</v>
      </c>
      <c r="H610" s="282">
        <f>C610*Conversions!$B$50</f>
        <v>1.0481895414698992</v>
      </c>
      <c r="J610" s="517">
        <v>104987</v>
      </c>
      <c r="K610">
        <f t="shared" si="90"/>
        <v>4</v>
      </c>
    </row>
    <row r="611" spans="1:11" ht="15">
      <c r="A611" s="639">
        <f t="shared" si="88"/>
        <v>156000</v>
      </c>
      <c r="B611" s="640">
        <f t="shared" si="91"/>
        <v>46800</v>
      </c>
      <c r="C611" s="576">
        <f t="shared" si="92"/>
        <v>0.03055859834598755</v>
      </c>
      <c r="D611" s="278">
        <f>C611*Conversions!$B$53</f>
        <v>0.7761883939028817</v>
      </c>
      <c r="E611" s="279">
        <f>C611*Conversions!$B$59</f>
        <v>0.015009032416837828</v>
      </c>
      <c r="F611" s="280">
        <f>H611*Conversions!$D$67</f>
        <v>0.0010553098255524313</v>
      </c>
      <c r="G611" s="281">
        <f t="shared" si="89"/>
        <v>0.01034832750160651</v>
      </c>
      <c r="H611" s="282">
        <f>C611*Conversions!$B$50</f>
        <v>1.0348327501606511</v>
      </c>
      <c r="I611" s="79" t="str">
        <f>CONCATENATE("L",M140,"/F",N140)</f>
        <v>L4/F2</v>
      </c>
      <c r="J611" s="642">
        <v>154199</v>
      </c>
      <c r="K611">
        <f t="shared" si="90"/>
        <v>4</v>
      </c>
    </row>
    <row r="612" spans="1:11" ht="15">
      <c r="A612" s="639">
        <f t="shared" si="88"/>
        <v>156333.33333333334</v>
      </c>
      <c r="B612" s="640">
        <f t="shared" si="91"/>
        <v>46900</v>
      </c>
      <c r="C612" s="576">
        <f t="shared" si="92"/>
        <v>0.03016919852404491</v>
      </c>
      <c r="D612" s="278">
        <f>C612*Conversions!$B$53</f>
        <v>0.7662976384775952</v>
      </c>
      <c r="E612" s="279">
        <f>C612*Conversions!$B$59</f>
        <v>0.014817776440877289</v>
      </c>
      <c r="F612" s="280">
        <f>H612*Conversions!$D$67</f>
        <v>0.0010418623024196043</v>
      </c>
      <c r="G612" s="281">
        <f t="shared" si="89"/>
        <v>0.010216461607729255</v>
      </c>
      <c r="H612" s="282">
        <f>C612*Conversions!$B$50</f>
        <v>1.0216461607729255</v>
      </c>
      <c r="J612" s="642">
        <v>167323</v>
      </c>
      <c r="K612">
        <f t="shared" si="90"/>
        <v>4</v>
      </c>
    </row>
    <row r="613" spans="1:11" ht="15">
      <c r="A613" s="639">
        <f t="shared" si="88"/>
        <v>156666.6666666667</v>
      </c>
      <c r="B613" s="640">
        <f t="shared" si="91"/>
        <v>47000</v>
      </c>
      <c r="C613" s="576">
        <f t="shared" si="92"/>
        <v>0.02978476071703542</v>
      </c>
      <c r="D613" s="278">
        <f>C613*Conversions!$B$53</f>
        <v>0.7565329182309476</v>
      </c>
      <c r="E613" s="279">
        <f>C613*Conversions!$B$59</f>
        <v>0.014628957587265795</v>
      </c>
      <c r="F613" s="280">
        <f>H613*Conversions!$D$67</f>
        <v>0.0010285861373789977</v>
      </c>
      <c r="G613" s="281">
        <f t="shared" si="89"/>
        <v>0.010086276044704048</v>
      </c>
      <c r="H613" s="282">
        <f>C613*Conversions!$B$50</f>
        <v>1.0086276044704048</v>
      </c>
      <c r="J613" s="506">
        <v>232940</v>
      </c>
      <c r="K613">
        <f t="shared" si="90"/>
        <v>4</v>
      </c>
    </row>
    <row r="614" spans="1:11" ht="15">
      <c r="A614" s="639">
        <f t="shared" si="88"/>
        <v>157000</v>
      </c>
      <c r="B614" s="640">
        <f t="shared" si="91"/>
        <v>47100</v>
      </c>
      <c r="C614" s="576">
        <f t="shared" si="92"/>
        <v>0.02940522169536626</v>
      </c>
      <c r="D614" s="278">
        <f>C614*Conversions!$B$53</f>
        <v>0.7468926271312892</v>
      </c>
      <c r="E614" s="279">
        <f>C614*Conversions!$B$59</f>
        <v>0.014442544800422927</v>
      </c>
      <c r="F614" s="280">
        <f>H614*Conversions!$D$67</f>
        <v>0.001015479146861528</v>
      </c>
      <c r="G614" s="281">
        <f t="shared" si="89"/>
        <v>0.009957749400536562</v>
      </c>
      <c r="H614" s="282">
        <f>C614*Conversions!$B$50</f>
        <v>0.9957749400536563</v>
      </c>
      <c r="J614" s="535">
        <v>280001</v>
      </c>
      <c r="K614">
        <f t="shared" si="90"/>
        <v>4</v>
      </c>
    </row>
    <row r="615" spans="1:11" ht="15">
      <c r="A615" s="639">
        <f t="shared" si="88"/>
        <v>157333.33333333334</v>
      </c>
      <c r="B615" s="640">
        <f t="shared" si="91"/>
        <v>47200</v>
      </c>
      <c r="C615" s="576">
        <f t="shared" si="92"/>
        <v>0.029030519035161857</v>
      </c>
      <c r="D615" s="278">
        <f>C615*Conversions!$B$53</f>
        <v>0.7373751796121892</v>
      </c>
      <c r="E615" s="279">
        <f>C615*Conversions!$B$59</f>
        <v>0.014258507420500962</v>
      </c>
      <c r="F615" s="280">
        <f>H615*Conversions!$D$67</f>
        <v>0.0010025391751227308</v>
      </c>
      <c r="G615" s="281">
        <f t="shared" si="89"/>
        <v>0.009830860536079615</v>
      </c>
      <c r="H615" s="282">
        <f>C615*Conversions!$B$50</f>
        <v>0.9830860536079615</v>
      </c>
      <c r="K615">
        <f t="shared" si="90"/>
        <v>4</v>
      </c>
    </row>
    <row r="616" spans="1:11" ht="15">
      <c r="A616" s="639">
        <f t="shared" si="88"/>
        <v>157666.6666666667</v>
      </c>
      <c r="B616" s="640">
        <f t="shared" si="91"/>
        <v>47300</v>
      </c>
      <c r="C616" s="576">
        <f t="shared" si="92"/>
        <v>0.028660591107997003</v>
      </c>
      <c r="D616" s="278">
        <f>C616*Conversions!$B$53</f>
        <v>0.7279790103116555</v>
      </c>
      <c r="E616" s="279">
        <f>C616*Conversions!$B$59</f>
        <v>0.01407681517834222</v>
      </c>
      <c r="F616" s="280">
        <f>H616*Conversions!$D$67</f>
        <v>0.0009897640938882023</v>
      </c>
      <c r="G616" s="281">
        <f t="shared" si="89"/>
        <v>0.00970558858155638</v>
      </c>
      <c r="H616" s="282">
        <f>C616*Conversions!$B$50</f>
        <v>0.970558858155638</v>
      </c>
      <c r="K616">
        <f t="shared" si="90"/>
        <v>4</v>
      </c>
    </row>
    <row r="617" spans="1:11" ht="15">
      <c r="A617" s="639">
        <f t="shared" si="88"/>
        <v>158000</v>
      </c>
      <c r="B617" s="640">
        <f t="shared" si="91"/>
        <v>47400</v>
      </c>
      <c r="C617" s="576">
        <f t="shared" si="92"/>
        <v>0.028295377070760592</v>
      </c>
      <c r="D617" s="278">
        <f>C617*Conversions!$B$53</f>
        <v>0.718702573814674</v>
      </c>
      <c r="E617" s="279">
        <f>C617*Conversions!$B$59</f>
        <v>0.013897438190500589</v>
      </c>
      <c r="F617" s="280">
        <f>H617*Conversions!$D$67</f>
        <v>0.0009771518020035561</v>
      </c>
      <c r="G617" s="281">
        <f t="shared" si="89"/>
        <v>0.009581912933127873</v>
      </c>
      <c r="H617" s="282">
        <f>C617*Conversions!$B$50</f>
        <v>0.9581912933127873</v>
      </c>
      <c r="K617">
        <f t="shared" si="90"/>
        <v>4</v>
      </c>
    </row>
    <row r="618" spans="1:11" ht="15">
      <c r="A618" s="639">
        <f t="shared" si="88"/>
        <v>158333.33333333334</v>
      </c>
      <c r="B618" s="640">
        <f t="shared" si="91"/>
        <v>47500</v>
      </c>
      <c r="C618" s="576">
        <f t="shared" si="92"/>
        <v>0.027934816855648473</v>
      </c>
      <c r="D618" s="278">
        <f>C618*Conversions!$B$53</f>
        <v>0.7095443443990274</v>
      </c>
      <c r="E618" s="279">
        <f>C618*Conversions!$B$59</f>
        <v>0.013720346954326454</v>
      </c>
      <c r="F618" s="280">
        <f>H618*Conversions!$D$67</f>
        <v>0.0009647002250888357</v>
      </c>
      <c r="G618" s="281">
        <f t="shared" si="89"/>
        <v>0.009459813249504137</v>
      </c>
      <c r="H618" s="282">
        <f>C618*Conversions!$B$50</f>
        <v>0.9459813249504138</v>
      </c>
      <c r="K618">
        <f t="shared" si="90"/>
        <v>4</v>
      </c>
    </row>
    <row r="619" spans="1:11" ht="15">
      <c r="A619" s="639">
        <f t="shared" si="88"/>
        <v>158666.6666666667</v>
      </c>
      <c r="B619" s="640">
        <f t="shared" si="91"/>
        <v>47600</v>
      </c>
      <c r="C619" s="576">
        <f t="shared" si="92"/>
        <v>0.027578851160284107</v>
      </c>
      <c r="D619" s="278">
        <f>C619*Conversions!$B$53</f>
        <v>0.7005028157843595</v>
      </c>
      <c r="E619" s="279">
        <f>C619*Conversions!$B$59</f>
        <v>0.013545512343114402</v>
      </c>
      <c r="F619" s="280">
        <f>H619*Conversions!$D$67</f>
        <v>0.0009524073151973404</v>
      </c>
      <c r="G619" s="281">
        <f t="shared" si="89"/>
        <v>0.009339269448598713</v>
      </c>
      <c r="H619" s="282">
        <f>C619*Conversions!$B$50</f>
        <v>0.9339269448598713</v>
      </c>
      <c r="K619">
        <f t="shared" si="90"/>
        <v>4</v>
      </c>
    </row>
    <row r="620" spans="1:11" ht="15">
      <c r="A620" s="639">
        <f t="shared" si="88"/>
        <v>159000</v>
      </c>
      <c r="B620" s="640">
        <f t="shared" si="91"/>
        <v>47700</v>
      </c>
      <c r="C620" s="576">
        <f t="shared" si="92"/>
        <v>0.027227421437964843</v>
      </c>
      <c r="D620" s="278">
        <f>C620*Conversions!$B$53</f>
        <v>0.6915765008844308</v>
      </c>
      <c r="E620" s="279">
        <f>C620*Conversions!$B$59</f>
        <v>0.013372905601312622</v>
      </c>
      <c r="F620" s="280">
        <f>H620*Conversions!$D$67</f>
        <v>0.0009402710504787927</v>
      </c>
      <c r="G620" s="281">
        <f t="shared" si="89"/>
        <v>0.00922026170422565</v>
      </c>
      <c r="H620" s="282">
        <f>C620*Conversions!$B$50</f>
        <v>0.9220261704225651</v>
      </c>
      <c r="K620">
        <f t="shared" si="90"/>
        <v>4</v>
      </c>
    </row>
    <row r="621" spans="1:11" ht="15">
      <c r="A621" s="639">
        <f t="shared" si="88"/>
        <v>159333.33333333334</v>
      </c>
      <c r="B621" s="640">
        <f t="shared" si="91"/>
        <v>47800</v>
      </c>
      <c r="C621" s="576">
        <f t="shared" si="92"/>
        <v>0.026880469888032485</v>
      </c>
      <c r="D621" s="278">
        <f>C621*Conversions!$B$53</f>
        <v>0.6827639315625308</v>
      </c>
      <c r="E621" s="279">
        <f>C621*Conversions!$B$59</f>
        <v>0.013202498339793357</v>
      </c>
      <c r="F621" s="280">
        <f>H621*Conversions!$D$67</f>
        <v>0.0009282894348467937</v>
      </c>
      <c r="G621" s="281">
        <f t="shared" si="89"/>
        <v>0.00910277044283861</v>
      </c>
      <c r="H621" s="282">
        <f>C621*Conversions!$B$50</f>
        <v>0.9102770442838609</v>
      </c>
      <c r="K621">
        <f t="shared" si="90"/>
        <v>4</v>
      </c>
    </row>
    <row r="622" spans="1:11" ht="15">
      <c r="A622" s="639">
        <f t="shared" si="88"/>
        <v>159666.6666666667</v>
      </c>
      <c r="B622" s="640">
        <f t="shared" si="91"/>
        <v>47900</v>
      </c>
      <c r="C622" s="576">
        <f t="shared" si="92"/>
        <v>0.026537939446366832</v>
      </c>
      <c r="D622" s="278">
        <f>C622*Conversions!$B$53</f>
        <v>0.6740636583900141</v>
      </c>
      <c r="E622" s="279">
        <f>C622*Conversions!$B$59</f>
        <v>0.013034262531183746</v>
      </c>
      <c r="F622" s="280">
        <f>H622*Conversions!$D$67</f>
        <v>0.0009164604976505287</v>
      </c>
      <c r="G622" s="281">
        <f t="shared" si="89"/>
        <v>0.008986776340311604</v>
      </c>
      <c r="H622" s="282">
        <f>C622*Conversions!$B$50</f>
        <v>0.8986776340311603</v>
      </c>
      <c r="K622">
        <f t="shared" si="90"/>
        <v>4</v>
      </c>
    </row>
    <row r="623" spans="1:11" ht="15">
      <c r="A623" s="639">
        <f t="shared" si="88"/>
        <v>160000</v>
      </c>
      <c r="B623" s="640">
        <f t="shared" si="91"/>
        <v>48000</v>
      </c>
      <c r="C623" s="576">
        <f t="shared" si="92"/>
        <v>0.026199773776000086</v>
      </c>
      <c r="D623" s="278">
        <f>C623*Conversions!$B$53</f>
        <v>0.6654742504079062</v>
      </c>
      <c r="E623" s="279">
        <f>C623*Conversions!$B$59</f>
        <v>0.012868170505256037</v>
      </c>
      <c r="F623" s="280">
        <f>H623*Conversions!$D$67</f>
        <v>0.0009047822933506441</v>
      </c>
      <c r="G623" s="281">
        <f t="shared" si="89"/>
        <v>0.00887226031876067</v>
      </c>
      <c r="H623" s="282">
        <f>C623*Conversions!$B$50</f>
        <v>0.887226031876067</v>
      </c>
      <c r="K623">
        <f t="shared" si="90"/>
        <v>4</v>
      </c>
    </row>
    <row r="624" spans="1:11" ht="15">
      <c r="A624" s="639">
        <f t="shared" si="88"/>
        <v>160333.33333333334</v>
      </c>
      <c r="B624" s="640">
        <f t="shared" si="91"/>
        <v>48100</v>
      </c>
      <c r="C624" s="576">
        <f t="shared" si="92"/>
        <v>0.025865917257850868</v>
      </c>
      <c r="D624" s="278">
        <f>C624*Conversions!$B$53</f>
        <v>0.6569942948915474</v>
      </c>
      <c r="E624" s="279">
        <f>C624*Conversions!$B$59</f>
        <v>0.012704194944376551</v>
      </c>
      <c r="F624" s="280">
        <f>H624*Conversions!$D$67</f>
        <v>0.000893252901199258</v>
      </c>
      <c r="G624" s="281">
        <f t="shared" si="89"/>
        <v>0.008759203543406058</v>
      </c>
      <c r="H624" s="282">
        <f>C624*Conversions!$B$50</f>
        <v>0.8759203543406058</v>
      </c>
      <c r="K624">
        <f t="shared" si="90"/>
        <v>4</v>
      </c>
    </row>
    <row r="625" spans="1:11" ht="15">
      <c r="A625" s="639">
        <f t="shared" si="88"/>
        <v>160666.6666666667</v>
      </c>
      <c r="B625" s="640">
        <f t="shared" si="91"/>
        <v>48200</v>
      </c>
      <c r="C625" s="576">
        <f t="shared" si="92"/>
        <v>0.025536314981576547</v>
      </c>
      <c r="D625" s="278">
        <f>C625*Conversions!$B$53</f>
        <v>0.6486223971182422</v>
      </c>
      <c r="E625" s="279">
        <f>C625*Conversions!$B$59</f>
        <v>0.012542308879012747</v>
      </c>
      <c r="F625" s="280">
        <f>H625*Conversions!$D$67</f>
        <v>0.0008818704249240524</v>
      </c>
      <c r="G625" s="281">
        <f t="shared" si="89"/>
        <v>0.00864758741947446</v>
      </c>
      <c r="H625" s="282">
        <f>C625*Conversions!$B$50</f>
        <v>0.864758741947446</v>
      </c>
      <c r="K625">
        <f t="shared" si="90"/>
        <v>4</v>
      </c>
    </row>
    <row r="626" spans="1:11" ht="15">
      <c r="A626" s="639">
        <f t="shared" si="88"/>
        <v>161000</v>
      </c>
      <c r="B626" s="640">
        <f t="shared" si="91"/>
        <v>48300</v>
      </c>
      <c r="C626" s="576">
        <f t="shared" si="92"/>
        <v>0.025210912736541902</v>
      </c>
      <c r="D626" s="278">
        <f>C626*Conversions!$B$53</f>
        <v>0.6403571801378634</v>
      </c>
      <c r="E626" s="279">
        <f>C626*Conversions!$B$59</f>
        <v>0.01238248568329742</v>
      </c>
      <c r="F626" s="280">
        <f>H626*Conversions!$D$67</f>
        <v>0.0008706329924163873</v>
      </c>
      <c r="G626" s="281">
        <f t="shared" si="89"/>
        <v>0.008537393589140659</v>
      </c>
      <c r="H626" s="282">
        <f>C626*Conversions!$B$50</f>
        <v>0.8537393589140659</v>
      </c>
      <c r="K626">
        <f t="shared" si="90"/>
        <v>4</v>
      </c>
    </row>
    <row r="627" spans="1:11" ht="15">
      <c r="A627" s="639">
        <f t="shared" si="88"/>
        <v>161333.33333333334</v>
      </c>
      <c r="B627" s="640">
        <f t="shared" si="91"/>
        <v>48400</v>
      </c>
      <c r="C627" s="576">
        <f t="shared" si="92"/>
        <v>0.02488965700290286</v>
      </c>
      <c r="D627" s="278">
        <f>C627*Conversions!$B$53</f>
        <v>0.6321972845463786</v>
      </c>
      <c r="E627" s="279">
        <f>C627*Conversions!$B$59</f>
        <v>0.012224699070649447</v>
      </c>
      <c r="F627" s="280">
        <f>H627*Conversions!$D$67</f>
        <v>0.0008595387554233857</v>
      </c>
      <c r="G627" s="281">
        <f t="shared" si="89"/>
        <v>0.008428603928508133</v>
      </c>
      <c r="H627" s="282">
        <f>C627*Conversions!$B$50</f>
        <v>0.8428603928508133</v>
      </c>
      <c r="K627">
        <f t="shared" si="90"/>
        <v>4</v>
      </c>
    </row>
    <row r="628" spans="1:11" ht="15">
      <c r="A628" s="639">
        <f t="shared" si="88"/>
        <v>161666.6666666667</v>
      </c>
      <c r="B628" s="640">
        <f t="shared" si="91"/>
        <v>48500</v>
      </c>
      <c r="C628" s="576">
        <f t="shared" si="92"/>
        <v>0.02457249494280411</v>
      </c>
      <c r="D628" s="278">
        <f>C628*Conversions!$B$53</f>
        <v>0.6241413682622698</v>
      </c>
      <c r="E628" s="279">
        <f>C628*Conversions!$B$59</f>
        <v>0.012068923089450416</v>
      </c>
      <c r="F628" s="280">
        <f>H628*Conversions!$D$67</f>
        <v>0.000848585889243952</v>
      </c>
      <c r="G628" s="281">
        <f t="shared" si="89"/>
        <v>0.008321200544628222</v>
      </c>
      <c r="H628" s="282">
        <f>C628*Conversions!$B$50</f>
        <v>0.8321200544628222</v>
      </c>
      <c r="K628">
        <f t="shared" si="90"/>
        <v>4</v>
      </c>
    </row>
    <row r="629" spans="1:11" ht="15">
      <c r="A629" s="639">
        <f t="shared" si="88"/>
        <v>162000</v>
      </c>
      <c r="B629" s="640">
        <f t="shared" si="91"/>
        <v>48600</v>
      </c>
      <c r="C629" s="576">
        <f t="shared" si="92"/>
        <v>0.024259374391688588</v>
      </c>
      <c r="D629" s="278">
        <f>C629*Conversions!$B$53</f>
        <v>0.6161881063057949</v>
      </c>
      <c r="E629" s="279">
        <f>C629*Conversions!$B$59</f>
        <v>0.011915132118776265</v>
      </c>
      <c r="F629" s="280">
        <f>H629*Conversions!$D$67</f>
        <v>0.0008377725924286552</v>
      </c>
      <c r="G629" s="281">
        <f t="shared" si="89"/>
        <v>0.008215165772557192</v>
      </c>
      <c r="H629" s="282">
        <f>C629*Conversions!$B$50</f>
        <v>0.8215165772557192</v>
      </c>
      <c r="K629">
        <f t="shared" si="90"/>
        <v>4</v>
      </c>
    </row>
    <row r="630" spans="1:11" ht="15">
      <c r="A630" s="639">
        <f t="shared" si="88"/>
        <v>162333.33333333334</v>
      </c>
      <c r="B630" s="640">
        <f t="shared" si="91"/>
        <v>48700</v>
      </c>
      <c r="C630" s="576">
        <f t="shared" si="92"/>
        <v>0.02395024384971778</v>
      </c>
      <c r="D630" s="278">
        <f>C630*Conversions!$B$53</f>
        <v>0.6083361905810621</v>
      </c>
      <c r="E630" s="279">
        <f>C630*Conversions!$B$59</f>
        <v>0.011763300864183274</v>
      </c>
      <c r="F630" s="280">
        <f>H630*Conversions!$D$67</f>
        <v>0.0008270970864834364</v>
      </c>
      <c r="G630" s="281">
        <f t="shared" si="89"/>
        <v>0.008110482172450806</v>
      </c>
      <c r="H630" s="282">
        <f>C630*Conversions!$B$50</f>
        <v>0.8110482172450806</v>
      </c>
      <c r="K630">
        <f t="shared" si="90"/>
        <v>4</v>
      </c>
    </row>
    <row r="631" spans="1:11" ht="15">
      <c r="A631" s="639">
        <f t="shared" si="88"/>
        <v>162666.6666666667</v>
      </c>
      <c r="B631" s="640">
        <f t="shared" si="91"/>
        <v>48800</v>
      </c>
      <c r="C631" s="576">
        <f t="shared" si="92"/>
        <v>0.023645052473301537</v>
      </c>
      <c r="D631" s="278">
        <f>C631*Conversions!$B$53</f>
        <v>0.6005843296608889</v>
      </c>
      <c r="E631" s="279">
        <f>C631*Conversions!$B$59</f>
        <v>0.011613404353547924</v>
      </c>
      <c r="F631" s="280">
        <f>H631*Conversions!$D$67</f>
        <v>0.0008165576155771009</v>
      </c>
      <c r="G631" s="281">
        <f t="shared" si="89"/>
        <v>0.008007132526695996</v>
      </c>
      <c r="H631" s="282">
        <f>C631*Conversions!$B$50</f>
        <v>0.8007132526695996</v>
      </c>
      <c r="K631">
        <f t="shared" si="90"/>
        <v>4</v>
      </c>
    </row>
    <row r="632" spans="1:11" ht="15">
      <c r="A632" s="639">
        <f t="shared" si="88"/>
        <v>163000</v>
      </c>
      <c r="B632" s="640">
        <f t="shared" si="91"/>
        <v>48900</v>
      </c>
      <c r="C632" s="576">
        <f t="shared" si="92"/>
        <v>0.023343750066735624</v>
      </c>
      <c r="D632" s="278">
        <f>C632*Conversions!$B$53</f>
        <v>0.592931248574394</v>
      </c>
      <c r="E632" s="279">
        <f>C632*Conversions!$B$59</f>
        <v>0.011465417932959599</v>
      </c>
      <c r="F632" s="280">
        <f>H632*Conversions!$D$67</f>
        <v>0.0008061524462525283</v>
      </c>
      <c r="G632" s="281">
        <f t="shared" si="89"/>
        <v>0.00790509983707901</v>
      </c>
      <c r="H632" s="282">
        <f>C632*Conversions!$B$50</f>
        <v>0.790509983707901</v>
      </c>
      <c r="K632">
        <f t="shared" si="90"/>
        <v>4</v>
      </c>
    </row>
    <row r="633" spans="1:11" ht="15">
      <c r="A633" s="639">
        <f t="shared" si="88"/>
        <v>163333.33333333334</v>
      </c>
      <c r="B633" s="640">
        <f t="shared" si="91"/>
        <v>49000</v>
      </c>
      <c r="C633" s="576">
        <f t="shared" si="92"/>
        <v>0.023046287073945772</v>
      </c>
      <c r="D633" s="278">
        <f>C633*Conversions!$B$53</f>
        <v>0.5853756885972979</v>
      </c>
      <c r="E633" s="279">
        <f>C633*Conversions!$B$59</f>
        <v>0.011319317262665645</v>
      </c>
      <c r="F633" s="280">
        <f>H633*Conversions!$D$67</f>
        <v>0.0007958798671415633</v>
      </c>
      <c r="G633" s="281">
        <f t="shared" si="89"/>
        <v>0.007804367321989633</v>
      </c>
      <c r="H633" s="282">
        <f>C633*Conversions!$B$50</f>
        <v>0.7804367321989634</v>
      </c>
      <c r="K633">
        <f t="shared" si="90"/>
        <v>4</v>
      </c>
    </row>
    <row r="634" spans="1:11" ht="15">
      <c r="A634" s="639">
        <f t="shared" si="88"/>
        <v>163666.6666666667</v>
      </c>
      <c r="B634" s="640">
        <f t="shared" si="91"/>
        <v>49100</v>
      </c>
      <c r="C634" s="576">
        <f t="shared" si="92"/>
        <v>0.022752614570337247</v>
      </c>
      <c r="D634" s="278">
        <f>C634*Conversions!$B$53</f>
        <v>0.5779164070449008</v>
      </c>
      <c r="E634" s="279">
        <f>C634*Conversions!$B$59</f>
        <v>0.01117507831306824</v>
      </c>
      <c r="F634" s="280">
        <f>H634*Conversions!$D$67</f>
        <v>0.0007857381886835475</v>
      </c>
      <c r="G634" s="281">
        <f t="shared" si="89"/>
        <v>0.007704918413661128</v>
      </c>
      <c r="H634" s="282">
        <f>C634*Conversions!$B$50</f>
        <v>0.7704918413661128</v>
      </c>
      <c r="K634">
        <f t="shared" si="90"/>
        <v>4</v>
      </c>
    </row>
    <row r="635" spans="1:11" ht="15">
      <c r="A635" s="639">
        <f t="shared" si="88"/>
        <v>164000</v>
      </c>
      <c r="B635" s="640">
        <f t="shared" si="91"/>
        <v>49200</v>
      </c>
      <c r="C635" s="576">
        <f t="shared" si="92"/>
        <v>0.02246268425474797</v>
      </c>
      <c r="D635" s="278">
        <f>C635*Conversions!$B$53</f>
        <v>0.5705521770676922</v>
      </c>
      <c r="E635" s="279">
        <f>C635*Conversions!$B$59</f>
        <v>0.011032677360772111</v>
      </c>
      <c r="F635" s="280">
        <f>H635*Conversions!$D$67</f>
        <v>0.0007757257428474296</v>
      </c>
      <c r="G635" s="281">
        <f t="shared" si="89"/>
        <v>0.007606736755445253</v>
      </c>
      <c r="H635" s="282">
        <f>C635*Conversions!$B$50</f>
        <v>0.7606736755445253</v>
      </c>
      <c r="K635">
        <f t="shared" si="90"/>
        <v>4</v>
      </c>
    </row>
    <row r="636" spans="1:11" ht="15">
      <c r="A636" s="639">
        <f t="shared" si="88"/>
        <v>164333.33333333334</v>
      </c>
      <c r="B636" s="640">
        <f t="shared" si="91"/>
        <v>49300</v>
      </c>
      <c r="C636" s="576">
        <f t="shared" si="92"/>
        <v>0.022176448441504227</v>
      </c>
      <c r="D636" s="278">
        <f>C636*Conversions!$B$53</f>
        <v>0.5632817874495664</v>
      </c>
      <c r="E636" s="279">
        <f>C636*Conversions!$B$59</f>
        <v>0.010892090984682667</v>
      </c>
      <c r="F636" s="280">
        <f>H636*Conversions!$D$67</f>
        <v>0.0007658408828574172</v>
      </c>
      <c r="G636" s="281">
        <f t="shared" si="89"/>
        <v>0.007509806199122016</v>
      </c>
      <c r="H636" s="282">
        <f>C636*Conversions!$B$50</f>
        <v>0.7509806199122016</v>
      </c>
      <c r="K636">
        <f t="shared" si="90"/>
        <v>4</v>
      </c>
    </row>
    <row r="637" spans="1:11" ht="15">
      <c r="A637" s="639">
        <f t="shared" si="88"/>
        <v>164666.6666666667</v>
      </c>
      <c r="B637" s="640">
        <f t="shared" si="91"/>
        <v>49400</v>
      </c>
      <c r="C637" s="576">
        <f t="shared" si="92"/>
        <v>0.021893860052577818</v>
      </c>
      <c r="D637" s="278">
        <f>C637*Conversions!$B$53</f>
        <v>0.5561040424086132</v>
      </c>
      <c r="E637" s="279">
        <f>C637*Conversions!$B$59</f>
        <v>0.01075329606215392</v>
      </c>
      <c r="F637" s="280">
        <f>H637*Conversions!$D$67</f>
        <v>0.0007560819829221317</v>
      </c>
      <c r="G637" s="281">
        <f t="shared" si="89"/>
        <v>0.007414110802243781</v>
      </c>
      <c r="H637" s="282">
        <f>C637*Conversions!$B$50</f>
        <v>0.7414110802243781</v>
      </c>
      <c r="K637">
        <f t="shared" si="90"/>
        <v>4</v>
      </c>
    </row>
    <row r="638" spans="1:11" ht="15">
      <c r="A638" s="639">
        <f t="shared" si="88"/>
        <v>165000</v>
      </c>
      <c r="B638" s="640">
        <f aca="true" t="shared" si="93" ref="B638:B643">B637+100</f>
        <v>49500</v>
      </c>
      <c r="C638" s="576">
        <f t="shared" si="92"/>
        <v>0.02161487260984291</v>
      </c>
      <c r="D638" s="278">
        <f>C638*Conversions!$B$53</f>
        <v>0.5490177614004428</v>
      </c>
      <c r="E638" s="279">
        <f>C638*Conversions!$B$59</f>
        <v>0.010616269765185402</v>
      </c>
      <c r="F638" s="280">
        <f>H638*Conversions!$D$67</f>
        <v>0.0007464474379672073</v>
      </c>
      <c r="G638" s="281">
        <f t="shared" si="89"/>
        <v>0.007319634825513139</v>
      </c>
      <c r="H638" s="282">
        <f>C638*Conversions!$B$50</f>
        <v>0.7319634825513139</v>
      </c>
      <c r="K638">
        <f t="shared" si="90"/>
        <v>4</v>
      </c>
    </row>
    <row r="639" spans="1:11" ht="15">
      <c r="A639" s="639">
        <f t="shared" si="88"/>
        <v>165333.33333333334</v>
      </c>
      <c r="B639" s="640">
        <f t="shared" si="93"/>
        <v>49600</v>
      </c>
      <c r="C639" s="576">
        <f t="shared" si="92"/>
        <v>0.021339440227431596</v>
      </c>
      <c r="D639" s="278">
        <f>C639*Conversions!$B$53</f>
        <v>0.5420217789240164</v>
      </c>
      <c r="E639" s="279">
        <f>C639*Conversions!$B$59</f>
        <v>0.010480989556667557</v>
      </c>
      <c r="F639" s="280">
        <f>H639*Conversions!$D$67</f>
        <v>0.0007369356633712976</v>
      </c>
      <c r="G639" s="281">
        <f t="shared" si="89"/>
        <v>0.007226362730194205</v>
      </c>
      <c r="H639" s="282">
        <f>C639*Conversions!$B$50</f>
        <v>0.7226362730194205</v>
      </c>
      <c r="K639">
        <f t="shared" si="90"/>
        <v>4</v>
      </c>
    </row>
    <row r="640" spans="1:11" ht="15">
      <c r="A640" s="639">
        <f t="shared" si="88"/>
        <v>165666.6666666667</v>
      </c>
      <c r="B640" s="640">
        <f t="shared" si="93"/>
        <v>49700</v>
      </c>
      <c r="C640" s="576">
        <f t="shared" si="92"/>
        <v>0.021067517604187045</v>
      </c>
      <c r="D640" s="278">
        <f>C640*Conversions!$B$53</f>
        <v>0.5351149443299565</v>
      </c>
      <c r="E640" s="279">
        <f>C640*Conversions!$B$59</f>
        <v>0.010347433186675054</v>
      </c>
      <c r="F640" s="280">
        <f>H640*Conversions!$D$67</f>
        <v>0.0007275450947054529</v>
      </c>
      <c r="G640" s="281">
        <f t="shared" si="89"/>
        <v>0.007134279175556954</v>
      </c>
      <c r="H640" s="282">
        <f>C640*Conversions!$B$50</f>
        <v>0.7134279175556953</v>
      </c>
      <c r="K640">
        <f t="shared" si="90"/>
        <v>4</v>
      </c>
    </row>
    <row r="641" spans="1:11" ht="15">
      <c r="A641" s="639">
        <f t="shared" si="88"/>
        <v>166000</v>
      </c>
      <c r="B641" s="640">
        <f t="shared" si="93"/>
        <v>49800</v>
      </c>
      <c r="C641" s="576">
        <f t="shared" si="92"/>
        <v>0.02079906001621262</v>
      </c>
      <c r="D641" s="278">
        <f>C641*Conversions!$B$53</f>
        <v>0.5282961216312947</v>
      </c>
      <c r="E641" s="279">
        <f>C641*Conversions!$B$59</f>
        <v>0.010215578688807245</v>
      </c>
      <c r="F641" s="280">
        <f>H641*Conversions!$D$67</f>
        <v>0.0007182741874758117</v>
      </c>
      <c r="G641" s="281">
        <f t="shared" si="89"/>
        <v>0.00704336901635407</v>
      </c>
      <c r="H641" s="282">
        <f>C641*Conversions!$B$50</f>
        <v>0.704336901635407</v>
      </c>
      <c r="K641">
        <f t="shared" si="90"/>
        <v>4</v>
      </c>
    </row>
    <row r="642" spans="1:11" ht="15">
      <c r="A642" s="639">
        <f t="shared" si="88"/>
        <v>166333.33333333334</v>
      </c>
      <c r="B642" s="640">
        <f t="shared" si="93"/>
        <v>49900</v>
      </c>
      <c r="C642" s="576">
        <f t="shared" si="92"/>
        <v>0.020534023309515925</v>
      </c>
      <c r="D642" s="278">
        <f>C642*Conversions!$B$53</f>
        <v>0.5215641893166298</v>
      </c>
      <c r="E642" s="279">
        <f>C642*Conversions!$B$59</f>
        <v>0.010085404376575253</v>
      </c>
      <c r="F642" s="280">
        <f>H642*Conversions!$D$67</f>
        <v>0.0007091214168695707</v>
      </c>
      <c r="G642" s="281">
        <f t="shared" si="89"/>
        <v>0.006953617300329938</v>
      </c>
      <c r="H642" s="282">
        <f>C642*Conversions!$B$50</f>
        <v>0.6953617300329937</v>
      </c>
      <c r="K642">
        <f t="shared" si="90"/>
        <v>4</v>
      </c>
    </row>
    <row r="643" spans="1:11" ht="15">
      <c r="A643" s="639">
        <f t="shared" si="88"/>
        <v>166666.6666666667</v>
      </c>
      <c r="B643" s="640">
        <f t="shared" si="93"/>
        <v>50000</v>
      </c>
      <c r="C643" s="576">
        <f t="shared" si="92"/>
        <v>0.02027236389274685</v>
      </c>
      <c r="D643" s="278">
        <f>C643*Conversions!$B$53</f>
        <v>0.5149180401656751</v>
      </c>
      <c r="E643" s="279">
        <f>C643*Conversions!$B$59</f>
        <v>0.00995688883983521</v>
      </c>
      <c r="F643" s="280">
        <f>H643*Conversions!$D$67</f>
        <v>0.0007000852775042003</v>
      </c>
      <c r="G643" s="281">
        <f t="shared" si="89"/>
        <v>0.006865009265761451</v>
      </c>
      <c r="H643" s="282">
        <f>C643*Conversions!$B$50</f>
        <v>0.6865009265761451</v>
      </c>
      <c r="K643">
        <f t="shared" si="90"/>
        <v>4</v>
      </c>
    </row>
    <row r="644" spans="1:11" ht="15">
      <c r="A644" s="644">
        <f t="shared" si="88"/>
        <v>167000</v>
      </c>
      <c r="B644" s="645">
        <f aca="true" t="shared" si="94" ref="B644:B662">B643+100</f>
        <v>50100</v>
      </c>
      <c r="C644" s="659">
        <f>C$22*EXP((-G$18*H$18*(A644-B$22))/(F$18*D$22))</f>
        <v>0.020014038730027862</v>
      </c>
      <c r="D644" s="646">
        <f>C644*Conversions!$B$53</f>
        <v>0.5083565810671468</v>
      </c>
      <c r="E644" s="647">
        <f>C644*Conversions!$B$59</f>
        <v>0.009830010941266827</v>
      </c>
      <c r="F644" s="648">
        <f>H644*Conversions!$D$67</f>
        <v>0.000691164283179846</v>
      </c>
      <c r="G644" s="649">
        <f t="shared" si="89"/>
        <v>0.006777530339030086</v>
      </c>
      <c r="H644" s="650">
        <f>C644*Conversions!$B$50</f>
        <v>0.6777530339030086</v>
      </c>
      <c r="I644" s="578"/>
      <c r="J644" s="651"/>
      <c r="K644" s="652">
        <f aca="true" t="shared" si="95" ref="K644:K662">K643</f>
        <v>4</v>
      </c>
    </row>
    <row r="645" spans="1:11" ht="15">
      <c r="A645" s="653">
        <f t="shared" si="88"/>
        <v>167333.33333333334</v>
      </c>
      <c r="B645" s="654">
        <f t="shared" si="94"/>
        <v>50200</v>
      </c>
      <c r="C645" s="574">
        <f>C$23*((D$23/(D$23+(E$23*(A645-B$23))))^((G$18*H$18)/(F$18*E$23)))</f>
        <v>0.0197590307452387</v>
      </c>
      <c r="D645" s="573">
        <f>C645*Conversions!$B$53</f>
        <v>0.5018793782875927</v>
      </c>
      <c r="E645" s="380">
        <f>C645*Conversions!$B$59</f>
        <v>0.009704762293834816</v>
      </c>
      <c r="F645" s="655">
        <f>H645*Conversions!$D$67</f>
        <v>0.000682357844190223</v>
      </c>
      <c r="G645" s="656">
        <f t="shared" si="89"/>
        <v>0.006691174737498726</v>
      </c>
      <c r="H645" s="574">
        <f>C645*Conversions!$B$50</f>
        <v>0.6691174737498726</v>
      </c>
      <c r="K645" s="657">
        <f>K644+1</f>
        <v>5</v>
      </c>
    </row>
    <row r="646" spans="1:11" ht="15">
      <c r="A646" s="639">
        <f t="shared" si="88"/>
        <v>167666.6666666667</v>
      </c>
      <c r="B646" s="640">
        <f t="shared" si="94"/>
        <v>50300</v>
      </c>
      <c r="C646" s="576">
        <f aca="true" t="shared" si="96" ref="C646:C668">C$23*((D$23/(D$23+(E$23*(A646-B$23))))^((G$18*H$18)/(F$18*E$23)))</f>
        <v>0.01950710695738604</v>
      </c>
      <c r="D646" s="278">
        <f>C646*Conversions!$B$53</f>
        <v>0.4954805141098133</v>
      </c>
      <c r="E646" s="279">
        <f>C646*Conversions!$B$59</f>
        <v>0.009581028467576073</v>
      </c>
      <c r="F646" s="280">
        <f>H646*Conversions!$D$67</f>
        <v>0.0006736579147758818</v>
      </c>
      <c r="G646" s="281">
        <f t="shared" si="89"/>
        <v>0.006605863564760109</v>
      </c>
      <c r="H646" s="282">
        <f>C646*Conversions!$B$50</f>
        <v>0.6605863564760109</v>
      </c>
      <c r="J646" s="517">
        <v>0</v>
      </c>
      <c r="K646">
        <f aca="true" t="shared" si="97" ref="K646:K653">K645</f>
        <v>5</v>
      </c>
    </row>
    <row r="647" spans="1:11" ht="15">
      <c r="A647" s="639">
        <f t="shared" si="88"/>
        <v>168000</v>
      </c>
      <c r="B647" s="640">
        <f t="shared" si="94"/>
        <v>50400</v>
      </c>
      <c r="C647" s="576">
        <f t="shared" si="96"/>
        <v>0.019258134984442205</v>
      </c>
      <c r="D647" s="278">
        <f>C647*Conversions!$B$53</f>
        <v>0.48915662603032345</v>
      </c>
      <c r="E647" s="279">
        <f>C647*Conversions!$B$59</f>
        <v>0.009458744442291623</v>
      </c>
      <c r="F647" s="280">
        <f>H647*Conversions!$D$67</f>
        <v>0.000665059923259386</v>
      </c>
      <c r="G647" s="281">
        <f t="shared" si="89"/>
        <v>0.006521551991121385</v>
      </c>
      <c r="H647" s="282">
        <f>C647*Conversions!$B$50</f>
        <v>0.6521551991121385</v>
      </c>
      <c r="J647" s="517">
        <v>36089</v>
      </c>
      <c r="K647">
        <f t="shared" si="97"/>
        <v>5</v>
      </c>
    </row>
    <row r="648" spans="1:11" ht="15">
      <c r="A648" s="639">
        <f t="shared" si="88"/>
        <v>168333.33333333334</v>
      </c>
      <c r="B648" s="640">
        <f t="shared" si="94"/>
        <v>50500</v>
      </c>
      <c r="C648" s="576">
        <f t="shared" si="96"/>
        <v>0.019012083294472445</v>
      </c>
      <c r="D648" s="278">
        <f>C648*Conversions!$B$53</f>
        <v>0.48290691313798484</v>
      </c>
      <c r="E648" s="279">
        <f>C648*Conversions!$B$59</f>
        <v>0.009337894730889243</v>
      </c>
      <c r="F648" s="280">
        <f>H648*Conversions!$D$67</f>
        <v>0.0006565627807177365</v>
      </c>
      <c r="G648" s="281">
        <f t="shared" si="89"/>
        <v>0.006438229338645567</v>
      </c>
      <c r="H648" s="282">
        <f>C648*Conversions!$B$50</f>
        <v>0.6438229338645567</v>
      </c>
      <c r="J648" s="517">
        <v>65617</v>
      </c>
      <c r="K648">
        <f t="shared" si="97"/>
        <v>5</v>
      </c>
    </row>
    <row r="649" spans="1:11" ht="15">
      <c r="A649" s="639">
        <f t="shared" si="88"/>
        <v>168666.6666666667</v>
      </c>
      <c r="B649" s="640">
        <f t="shared" si="94"/>
        <v>50600</v>
      </c>
      <c r="C649" s="576">
        <f t="shared" si="96"/>
        <v>0.018768920659673498</v>
      </c>
      <c r="D649" s="278">
        <f>C649*Conversions!$B$53</f>
        <v>0.47673058224659853</v>
      </c>
      <c r="E649" s="279">
        <f>C649*Conversions!$B$59</f>
        <v>0.009218463995652647</v>
      </c>
      <c r="F649" s="280">
        <f>H649*Conversions!$D$67</f>
        <v>0.0006481654087308031</v>
      </c>
      <c r="G649" s="281">
        <f t="shared" si="89"/>
        <v>0.006355885032386394</v>
      </c>
      <c r="H649" s="282">
        <f>C649*Conversions!$B$50</f>
        <v>0.6355885032386395</v>
      </c>
      <c r="J649" s="517">
        <v>104987</v>
      </c>
      <c r="K649">
        <f t="shared" si="97"/>
        <v>5</v>
      </c>
    </row>
    <row r="650" spans="1:11" ht="15">
      <c r="A650" s="639">
        <f t="shared" si="88"/>
        <v>169000</v>
      </c>
      <c r="B650" s="640">
        <f t="shared" si="94"/>
        <v>50700</v>
      </c>
      <c r="C650" s="576">
        <f t="shared" si="96"/>
        <v>0.01852861615375525</v>
      </c>
      <c r="D650" s="278">
        <f>C650*Conversions!$B$53</f>
        <v>0.4706268478284</v>
      </c>
      <c r="E650" s="279">
        <f>C650*Conversions!$B$59</f>
        <v>0.00910043704695548</v>
      </c>
      <c r="F650" s="280">
        <f>H650*Conversions!$D$67</f>
        <v>0.0006398667392909024</v>
      </c>
      <c r="G650" s="281">
        <f t="shared" si="89"/>
        <v>0.006274508599501662</v>
      </c>
      <c r="H650" s="282">
        <f>C650*Conversions!$B$50</f>
        <v>0.6274508599501661</v>
      </c>
      <c r="J650" s="517">
        <v>154199</v>
      </c>
      <c r="K650">
        <f t="shared" si="97"/>
        <v>5</v>
      </c>
    </row>
    <row r="651" spans="1:11" ht="15">
      <c r="A651" s="639">
        <f t="shared" si="88"/>
        <v>169333.33333333334</v>
      </c>
      <c r="B651" s="640">
        <f t="shared" si="94"/>
        <v>50800</v>
      </c>
      <c r="C651" s="576">
        <f t="shared" si="96"/>
        <v>0.018291139149343837</v>
      </c>
      <c r="D651" s="278">
        <f>C651*Conversions!$B$53</f>
        <v>0.46459493194809703</v>
      </c>
      <c r="E651" s="279">
        <f>C651*Conversions!$B$59</f>
        <v>0.008983798841985833</v>
      </c>
      <c r="F651" s="280">
        <f>H651*Conversions!$D$67</f>
        <v>0.0006316657147131168</v>
      </c>
      <c r="G651" s="281">
        <f t="shared" si="89"/>
        <v>0.006194089668373807</v>
      </c>
      <c r="H651" s="282">
        <f>C651*Conversions!$B$50</f>
        <v>0.6194089668373807</v>
      </c>
      <c r="I651" s="79" t="str">
        <f>CONCATENATE("L",M141,"/F",N141)</f>
        <v>L5/F1</v>
      </c>
      <c r="J651" s="642">
        <v>167323</v>
      </c>
      <c r="K651">
        <f t="shared" si="97"/>
        <v>5</v>
      </c>
    </row>
    <row r="652" spans="1:11" ht="15">
      <c r="A652" s="639">
        <f t="shared" si="88"/>
        <v>169666.6666666667</v>
      </c>
      <c r="B652" s="640">
        <f t="shared" si="94"/>
        <v>50900</v>
      </c>
      <c r="C652" s="576">
        <f t="shared" si="96"/>
        <v>0.018056459315403596</v>
      </c>
      <c r="D652" s="278">
        <f>C652*Conversions!$B$53</f>
        <v>0.4586340641973879</v>
      </c>
      <c r="E652" s="279">
        <f>C652*Conversions!$B$59</f>
        <v>0.008868534483480016</v>
      </c>
      <c r="F652" s="280">
        <f>H652*Conversions!$D$67</f>
        <v>0.0006235612875462645</v>
      </c>
      <c r="G652" s="281">
        <f t="shared" si="89"/>
        <v>0.006114617967736885</v>
      </c>
      <c r="H652" s="282">
        <f>C652*Conversions!$B$50</f>
        <v>0.6114617967736885</v>
      </c>
      <c r="J652" s="642">
        <v>232940</v>
      </c>
      <c r="K652">
        <f t="shared" si="97"/>
        <v>5</v>
      </c>
    </row>
    <row r="653" spans="1:11" ht="15">
      <c r="A653" s="639">
        <f t="shared" si="88"/>
        <v>170000</v>
      </c>
      <c r="B653" s="640">
        <f t="shared" si="94"/>
        <v>51000</v>
      </c>
      <c r="C653" s="576">
        <f t="shared" si="96"/>
        <v>0.01782454661467879</v>
      </c>
      <c r="D653" s="278">
        <f>C653*Conversions!$B$53</f>
        <v>0.4527434816299809</v>
      </c>
      <c r="E653" s="279">
        <f>C653*Conversions!$B$59</f>
        <v>0.00875462921846605</v>
      </c>
      <c r="F653" s="280">
        <f>H653*Conversions!$D$67</f>
        <v>0.0006155524204845518</v>
      </c>
      <c r="G653" s="281">
        <f t="shared" si="89"/>
        <v>0.006036083325810238</v>
      </c>
      <c r="H653" s="282">
        <f>C653*Conversions!$B$50</f>
        <v>0.6036083325810239</v>
      </c>
      <c r="J653" s="535">
        <v>280001</v>
      </c>
      <c r="K653">
        <f t="shared" si="97"/>
        <v>5</v>
      </c>
    </row>
    <row r="654" spans="1:11" ht="15">
      <c r="A654" s="639">
        <f t="shared" si="88"/>
        <v>170333.33333333334</v>
      </c>
      <c r="B654" s="640">
        <f t="shared" si="94"/>
        <v>51100</v>
      </c>
      <c r="C654" s="576">
        <f t="shared" si="96"/>
        <v>0.017595371301154496</v>
      </c>
      <c r="D654" s="278">
        <f>C654*Conversions!$B$53</f>
        <v>0.4469224286971009</v>
      </c>
      <c r="E654" s="279">
        <f>C654*Conversions!$B$59</f>
        <v>0.008642068437016572</v>
      </c>
      <c r="F654" s="280">
        <f>H654*Conversions!$D$67</f>
        <v>0.0006076380862798874</v>
      </c>
      <c r="G654" s="281">
        <f t="shared" si="89"/>
        <v>0.005958475669438651</v>
      </c>
      <c r="H654" s="282">
        <f>C654*Conversions!$B$50</f>
        <v>0.5958475669438651</v>
      </c>
      <c r="K654">
        <f t="shared" si="95"/>
        <v>5</v>
      </c>
    </row>
    <row r="655" spans="1:11" ht="15">
      <c r="A655" s="639">
        <f t="shared" si="88"/>
        <v>170666.6666666667</v>
      </c>
      <c r="B655" s="640">
        <f t="shared" si="94"/>
        <v>51200</v>
      </c>
      <c r="C655" s="576">
        <f t="shared" si="96"/>
        <v>0.01736890391753712</v>
      </c>
      <c r="D655" s="278">
        <f>C655*Conversions!$B$53</f>
        <v>0.44117015718349467</v>
      </c>
      <c r="E655" s="279">
        <f>C655*Conversions!$B$59</f>
        <v>0.008530837671011366</v>
      </c>
      <c r="F655" s="280">
        <f>H655*Conversions!$D$67</f>
        <v>0.0005998172676548751</v>
      </c>
      <c r="G655" s="281">
        <f t="shared" si="89"/>
        <v>0.005881785023239158</v>
      </c>
      <c r="H655" s="282">
        <f>C655*Conversions!$B$50</f>
        <v>0.5881785023239158</v>
      </c>
      <c r="K655">
        <f t="shared" si="95"/>
        <v>5</v>
      </c>
    </row>
    <row r="656" spans="1:11" ht="15">
      <c r="A656" s="639">
        <f t="shared" si="88"/>
        <v>171000</v>
      </c>
      <c r="B656" s="640">
        <f t="shared" si="94"/>
        <v>51300</v>
      </c>
      <c r="C656" s="576">
        <f t="shared" si="96"/>
        <v>0.01714511529275409</v>
      </c>
      <c r="D656" s="278">
        <f>C656*Conversions!$B$53</f>
        <v>0.43548592614392273</v>
      </c>
      <c r="E656" s="279">
        <f>C656*Conversions!$B$59</f>
        <v>0.008420922592909327</v>
      </c>
      <c r="F656" s="280">
        <f>H656*Conversions!$D$67</f>
        <v>0.0005920889572164677</v>
      </c>
      <c r="G656" s="281">
        <f t="shared" si="89"/>
        <v>0.005806001508754338</v>
      </c>
      <c r="H656" s="282">
        <f>C656*Conversions!$B$50</f>
        <v>0.5806001508754338</v>
      </c>
      <c r="K656">
        <f t="shared" si="95"/>
        <v>5</v>
      </c>
    </row>
    <row r="657" spans="1:11" ht="15">
      <c r="A657" s="639">
        <f t="shared" si="88"/>
        <v>171333.33333333334</v>
      </c>
      <c r="B657" s="640">
        <f t="shared" si="94"/>
        <v>51400</v>
      </c>
      <c r="C657" s="576">
        <f t="shared" si="96"/>
        <v>0.016923976539472165</v>
      </c>
      <c r="D657" s="278">
        <f>C657*Conversions!$B$53</f>
        <v>0.4298690018401246</v>
      </c>
      <c r="E657" s="279">
        <f>C657*Conversions!$B$59</f>
        <v>0.008312309014529567</v>
      </c>
      <c r="F657" s="280">
        <f>H657*Conversions!$D$67</f>
        <v>0.0005844521573702642</v>
      </c>
      <c r="G657" s="281">
        <f t="shared" si="89"/>
        <v>0.005731115343611925</v>
      </c>
      <c r="H657" s="282">
        <f>C657*Conversions!$B$50</f>
        <v>0.5731115343611924</v>
      </c>
      <c r="K657">
        <f t="shared" si="95"/>
        <v>5</v>
      </c>
    </row>
    <row r="658" spans="1:11" ht="15">
      <c r="A658" s="639">
        <f t="shared" si="88"/>
        <v>171666.6666666667</v>
      </c>
      <c r="B658" s="640">
        <f t="shared" si="94"/>
        <v>51500</v>
      </c>
      <c r="C658" s="576">
        <f t="shared" si="96"/>
        <v>0.01670545905163505</v>
      </c>
      <c r="D658" s="278">
        <f>C658*Conversions!$B$53</f>
        <v>0.4243186576782742</v>
      </c>
      <c r="E658" s="279">
        <f>C658*Conversions!$B$59</f>
        <v>0.008204982885841997</v>
      </c>
      <c r="F658" s="280">
        <f>H658*Conversions!$D$67</f>
        <v>0.0005769058802354747</v>
      </c>
      <c r="G658" s="281">
        <f t="shared" si="89"/>
        <v>0.005657116840690939</v>
      </c>
      <c r="H658" s="282">
        <f>C658*Conversions!$B$50</f>
        <v>0.5657116840690939</v>
      </c>
      <c r="K658">
        <f t="shared" si="95"/>
        <v>5</v>
      </c>
    </row>
    <row r="659" spans="1:11" ht="15">
      <c r="A659" s="639">
        <f t="shared" si="88"/>
        <v>172000</v>
      </c>
      <c r="B659" s="640">
        <f t="shared" si="94"/>
        <v>51600</v>
      </c>
      <c r="C659" s="576">
        <f t="shared" si="96"/>
        <v>0.01648953450201965</v>
      </c>
      <c r="D659" s="278">
        <f>C659*Conversions!$B$53</f>
        <v>0.41883417414690877</v>
      </c>
      <c r="E659" s="279">
        <f>C659*Conversions!$B$59</f>
        <v>0.008098930293767067</v>
      </c>
      <c r="F659" s="280">
        <f>H659*Conversions!$D$67</f>
        <v>0.0005694491475605276</v>
      </c>
      <c r="G659" s="281">
        <f t="shared" si="89"/>
        <v>0.00558399640729415</v>
      </c>
      <c r="H659" s="282">
        <f>C659*Conversions!$B$50</f>
        <v>0.558399640729415</v>
      </c>
      <c r="K659">
        <f t="shared" si="95"/>
        <v>5</v>
      </c>
    </row>
    <row r="660" spans="1:11" ht="15">
      <c r="A660" s="639">
        <f t="shared" si="88"/>
        <v>172333.33333333334</v>
      </c>
      <c r="B660" s="640">
        <f t="shared" si="94"/>
        <v>51700</v>
      </c>
      <c r="C660" s="576">
        <f t="shared" si="96"/>
        <v>0.016276174839811006</v>
      </c>
      <c r="D660" s="278">
        <f>C660*Conversions!$B$53</f>
        <v>0.413414838755332</v>
      </c>
      <c r="E660" s="279">
        <f>C660*Conversions!$B$59</f>
        <v>0.007994137460984683</v>
      </c>
      <c r="F660" s="280">
        <f>H660*Conversions!$D$67</f>
        <v>0.0005620809906393219</v>
      </c>
      <c r="G660" s="281">
        <f t="shared" si="89"/>
        <v>0.005511744544326844</v>
      </c>
      <c r="H660" s="282">
        <f>C660*Conversions!$B$50</f>
        <v>0.5511744544326844</v>
      </c>
      <c r="K660">
        <f t="shared" si="95"/>
        <v>5</v>
      </c>
    </row>
    <row r="661" spans="1:11" ht="15">
      <c r="A661" s="639">
        <f t="shared" si="88"/>
        <v>172666.6666666667</v>
      </c>
      <c r="B661" s="640">
        <f t="shared" si="94"/>
        <v>51800</v>
      </c>
      <c r="C661" s="576">
        <f t="shared" si="96"/>
        <v>0.01606535228819562</v>
      </c>
      <c r="D661" s="278">
        <f>C661*Conversions!$B$53</f>
        <v>0.4080599459724849</v>
      </c>
      <c r="E661" s="279">
        <f>C661*Conversions!$B$59</f>
        <v>0.007890590744752155</v>
      </c>
      <c r="F661" s="280">
        <f>H661*Conversions!$D$67</f>
        <v>0.0005548004502281168</v>
      </c>
      <c r="G661" s="281">
        <f t="shared" si="89"/>
        <v>0.005440351845481846</v>
      </c>
      <c r="H661" s="282">
        <f>C661*Conversions!$B$50</f>
        <v>0.5440351845481847</v>
      </c>
      <c r="K661">
        <f t="shared" si="95"/>
        <v>5</v>
      </c>
    </row>
    <row r="662" spans="1:11" ht="15">
      <c r="A662" s="639">
        <f t="shared" si="88"/>
        <v>173000</v>
      </c>
      <c r="B662" s="640">
        <f t="shared" si="94"/>
        <v>51900</v>
      </c>
      <c r="C662" s="576">
        <f t="shared" si="96"/>
        <v>0.015857039341973734</v>
      </c>
      <c r="D662" s="278">
        <f>C662*Conversions!$B$53</f>
        <v>0.4027687971662971</v>
      </c>
      <c r="E662" s="279">
        <f>C662*Conversions!$B$59</f>
        <v>0.0077882766357314495</v>
      </c>
      <c r="F662" s="280">
        <f>H662*Conversions!$D$67</f>
        <v>0.0005476065764630722</v>
      </c>
      <c r="G662" s="281">
        <f t="shared" si="89"/>
        <v>0.0053698089964309284</v>
      </c>
      <c r="H662" s="282">
        <f>C662*Conversions!$B$50</f>
        <v>0.5369808996430928</v>
      </c>
      <c r="K662">
        <f t="shared" si="95"/>
        <v>5</v>
      </c>
    </row>
    <row r="663" spans="1:11" ht="15">
      <c r="A663" s="639">
        <f t="shared" si="88"/>
        <v>173333.33333333334</v>
      </c>
      <c r="B663" s="640">
        <f aca="true" t="shared" si="98" ref="B663:B668">B662+100</f>
        <v>52000</v>
      </c>
      <c r="C663" s="576">
        <f t="shared" si="96"/>
        <v>0.015651208765188968</v>
      </c>
      <c r="D663" s="278">
        <f>C663*Conversions!$B$53</f>
        <v>0.39754070054348034</v>
      </c>
      <c r="E663" s="279">
        <f>C663*Conversions!$B$59</f>
        <v>0.007687181756824982</v>
      </c>
      <c r="F663" s="280">
        <f>H663*Conversions!$D$67</f>
        <v>0.0005404984287783925</v>
      </c>
      <c r="G663" s="281">
        <f t="shared" si="89"/>
        <v>0.005300106774022124</v>
      </c>
      <c r="H663" s="282">
        <f>C663*Conversions!$B$50</f>
        <v>0.5300106774022124</v>
      </c>
      <c r="K663">
        <f aca="true" t="shared" si="99" ref="K663:K668">K662</f>
        <v>5</v>
      </c>
    </row>
    <row r="664" spans="1:11" ht="15">
      <c r="A664" s="639">
        <f t="shared" si="88"/>
        <v>173666.6666666667</v>
      </c>
      <c r="B664" s="640">
        <f t="shared" si="98"/>
        <v>52100</v>
      </c>
      <c r="C664" s="576">
        <f t="shared" si="96"/>
        <v>0.015447833588777143</v>
      </c>
      <c r="D664" s="278">
        <f>C664*Conversions!$B$53</f>
        <v>0.392374971089808</v>
      </c>
      <c r="E664" s="279">
        <f>C664*Conversions!$B$59</f>
        <v>0.007587292862020813</v>
      </c>
      <c r="F664" s="280">
        <f>H664*Conversions!$D$67</f>
        <v>0.0005334750758251299</v>
      </c>
      <c r="G664" s="281">
        <f t="shared" si="89"/>
        <v>0.005231236045483526</v>
      </c>
      <c r="H664" s="282">
        <f>C664*Conversions!$B$50</f>
        <v>0.5231236045483526</v>
      </c>
      <c r="K664">
        <f t="shared" si="99"/>
        <v>5</v>
      </c>
    </row>
    <row r="665" spans="1:11" ht="15">
      <c r="A665" s="639">
        <f t="shared" si="88"/>
        <v>174000</v>
      </c>
      <c r="B665" s="640">
        <f t="shared" si="98"/>
        <v>52200</v>
      </c>
      <c r="C665" s="576">
        <f t="shared" si="96"/>
        <v>0.015246887108232434</v>
      </c>
      <c r="D665" s="278">
        <f>C665*Conversions!$B$53</f>
        <v>0.3872709305108358</v>
      </c>
      <c r="E665" s="279">
        <f>C665*Conversions!$B$59</f>
        <v>0.007488596835246371</v>
      </c>
      <c r="F665" s="280">
        <f>H665*Conversions!$D$67</f>
        <v>0.0005265355953905877</v>
      </c>
      <c r="G665" s="281">
        <f t="shared" si="89"/>
        <v>0.005163187767632952</v>
      </c>
      <c r="H665" s="282">
        <f>C665*Conversions!$B$50</f>
        <v>0.5163187767632952</v>
      </c>
      <c r="K665">
        <f t="shared" si="99"/>
        <v>5</v>
      </c>
    </row>
    <row r="666" spans="1:11" ht="15">
      <c r="A666" s="639">
        <f t="shared" si="88"/>
        <v>174333.33333333334</v>
      </c>
      <c r="B666" s="640">
        <f t="shared" si="98"/>
        <v>52300</v>
      </c>
      <c r="C666" s="576">
        <f t="shared" si="96"/>
        <v>0.015048342881291697</v>
      </c>
      <c r="D666" s="278">
        <f>C666*Conversions!$B$53</f>
        <v>0.3822279071730833</v>
      </c>
      <c r="E666" s="279">
        <f>C666*Conversions!$B$59</f>
        <v>0.0073910806892310945</v>
      </c>
      <c r="F666" s="280">
        <f>H666*Conversions!$D$67</f>
        <v>0.0005196790743183514</v>
      </c>
      <c r="G666" s="281">
        <f t="shared" si="89"/>
        <v>0.005095952986093772</v>
      </c>
      <c r="H666" s="282">
        <f>C666*Conversions!$B$50</f>
        <v>0.5095952986093771</v>
      </c>
      <c r="K666">
        <f t="shared" si="99"/>
        <v>5</v>
      </c>
    </row>
    <row r="667" spans="1:11" ht="15">
      <c r="A667" s="639">
        <f t="shared" si="88"/>
        <v>174666.6666666667</v>
      </c>
      <c r="B667" s="640">
        <f t="shared" si="98"/>
        <v>52400</v>
      </c>
      <c r="C667" s="576">
        <f t="shared" si="96"/>
        <v>0.014852174725636838</v>
      </c>
      <c r="D667" s="278">
        <f>C667*Conversions!$B$53</f>
        <v>0.37724523604567445</v>
      </c>
      <c r="E667" s="279">
        <f>C667*Conversions!$B$59</f>
        <v>0.007294731564377936</v>
      </c>
      <c r="F667" s="280">
        <f>H667*Conversions!$D$67</f>
        <v>0.0005129046084289415</v>
      </c>
      <c r="G667" s="281">
        <f t="shared" si="89"/>
        <v>0.005029522834516837</v>
      </c>
      <c r="H667" s="282">
        <f>C667*Conversions!$B$50</f>
        <v>0.5029522834516837</v>
      </c>
      <c r="K667">
        <f t="shared" si="99"/>
        <v>5</v>
      </c>
    </row>
    <row r="668" spans="1:11" ht="15">
      <c r="A668" s="639">
        <f t="shared" si="88"/>
        <v>175000</v>
      </c>
      <c r="B668" s="640">
        <f t="shared" si="98"/>
        <v>52500</v>
      </c>
      <c r="C668" s="576">
        <f t="shared" si="96"/>
        <v>0.014658356716614598</v>
      </c>
      <c r="D668" s="278">
        <f>C668*Conversions!$B$53</f>
        <v>0.37232225864241997</v>
      </c>
      <c r="E668" s="279">
        <f>C668*Conversions!$B$59</f>
        <v>0.007199536727643426</v>
      </c>
      <c r="F668" s="280">
        <f>H668*Conversions!$D$67</f>
        <v>0.0005062113024410693</v>
      </c>
      <c r="G668" s="281">
        <f t="shared" si="89"/>
        <v>0.004963888533808317</v>
      </c>
      <c r="H668" s="282">
        <f>C668*Conversions!$B$50</f>
        <v>0.49638885338083166</v>
      </c>
      <c r="K668">
        <f t="shared" si="99"/>
        <v>5</v>
      </c>
    </row>
    <row r="669" spans="1:11" ht="15">
      <c r="A669" s="660"/>
      <c r="B669" s="661"/>
      <c r="C669" s="662"/>
      <c r="D669" s="663"/>
      <c r="E669" s="664"/>
      <c r="F669" s="665"/>
      <c r="G669" s="666"/>
      <c r="H669" s="662"/>
      <c r="I669" s="536"/>
      <c r="J669" s="536"/>
      <c r="K669" s="536"/>
    </row>
    <row r="670" spans="1:8" ht="15">
      <c r="A670" s="667"/>
      <c r="B670" s="668"/>
      <c r="C670" s="289"/>
      <c r="D670" s="284"/>
      <c r="E670" s="669"/>
      <c r="F670" s="670"/>
      <c r="G670" s="671"/>
      <c r="H670" s="289"/>
    </row>
    <row r="671" spans="1:8" ht="15">
      <c r="A671" s="667"/>
      <c r="B671" s="668"/>
      <c r="C671" s="289"/>
      <c r="D671" s="284"/>
      <c r="E671" s="669"/>
      <c r="F671" s="670"/>
      <c r="G671" s="671"/>
      <c r="H671" s="289"/>
    </row>
    <row r="672" spans="1:8" ht="15">
      <c r="A672" s="667"/>
      <c r="B672" s="668"/>
      <c r="C672" s="289"/>
      <c r="D672" s="284"/>
      <c r="E672" s="669"/>
      <c r="F672" s="670"/>
      <c r="G672" s="671"/>
      <c r="H672" s="289"/>
    </row>
    <row r="673" spans="1:8" ht="15">
      <c r="A673" s="667"/>
      <c r="B673" s="668"/>
      <c r="C673" s="289"/>
      <c r="D673" s="284"/>
      <c r="E673" s="669"/>
      <c r="F673" s="670"/>
      <c r="G673" s="671"/>
      <c r="H673" s="289"/>
    </row>
    <row r="674" ht="15">
      <c r="A674" s="3" t="s">
        <v>329</v>
      </c>
    </row>
    <row r="676" spans="1:8" ht="13.5" customHeight="1">
      <c r="A676" s="1143" t="s">
        <v>147</v>
      </c>
      <c r="B676" s="1143"/>
      <c r="C676" s="1144" t="s">
        <v>148</v>
      </c>
      <c r="D676" s="1144"/>
      <c r="E676" s="1144" t="s">
        <v>149</v>
      </c>
      <c r="F676" s="1144"/>
      <c r="G676" s="1144"/>
      <c r="H676" s="1144"/>
    </row>
    <row r="677" spans="1:8" ht="15">
      <c r="A677" s="552" t="s">
        <v>151</v>
      </c>
      <c r="B677" s="554" t="s">
        <v>152</v>
      </c>
      <c r="C677" s="552" t="s">
        <v>153</v>
      </c>
      <c r="D677" s="554" t="s">
        <v>154</v>
      </c>
      <c r="E677" s="552" t="s">
        <v>155</v>
      </c>
      <c r="F677" s="672" t="s">
        <v>156</v>
      </c>
      <c r="G677" s="672" t="s">
        <v>157</v>
      </c>
      <c r="H677" s="554" t="s">
        <v>55</v>
      </c>
    </row>
    <row r="678" spans="1:12" ht="15">
      <c r="A678" s="673">
        <v>0</v>
      </c>
      <c r="B678" s="674">
        <v>0</v>
      </c>
      <c r="C678" s="675">
        <f>C$18*((D$18/(D$18+(E$18*(A678-B$18))))^((G$18*H$18)/(F$18*E$18)))</f>
        <v>29.92126</v>
      </c>
      <c r="D678" s="676">
        <f>C678*Conversions!$B$53</f>
        <v>760</v>
      </c>
      <c r="E678" s="677">
        <f>C678*Conversions!$B$59</f>
        <v>14.696</v>
      </c>
      <c r="F678" s="678">
        <f>H678*Conversions!$D$67</f>
        <v>1.0333000000000003</v>
      </c>
      <c r="G678" s="679">
        <f>H678/100</f>
        <v>10.1325</v>
      </c>
      <c r="H678" s="680">
        <f>C678*Conversions!$B$50</f>
        <v>1013.2500000000001</v>
      </c>
      <c r="J678" s="636"/>
      <c r="K678" s="681">
        <v>0</v>
      </c>
      <c r="L678" s="638" t="s">
        <v>330</v>
      </c>
    </row>
    <row r="679" spans="1:11" ht="15">
      <c r="A679" s="572">
        <f>A678+500</f>
        <v>500</v>
      </c>
      <c r="B679" s="343">
        <f>A679*Conversions!B$35</f>
        <v>152.40004157473135</v>
      </c>
      <c r="C679" s="682">
        <f>C$18*((D$18/(D$18+(E$18*(A679-B$18))))^((G$18*H$18)/(F$18*E$18)))</f>
        <v>29.384564550660073</v>
      </c>
      <c r="D679" s="573">
        <f>C679*Conversions!$B$53</f>
        <v>746.3679356585136</v>
      </c>
      <c r="E679" s="380">
        <f>C679*Conversions!$B$59</f>
        <v>14.43239892425989</v>
      </c>
      <c r="F679" s="683">
        <f>H679*Conversions!$D$67</f>
        <v>1.0147657735736082</v>
      </c>
      <c r="G679" s="684">
        <f>H679/100</f>
        <v>9.950754089552486</v>
      </c>
      <c r="H679" s="574">
        <f>C679*Conversions!$B$50</f>
        <v>995.0754089552486</v>
      </c>
      <c r="I679" s="79" t="str">
        <f>CONCATENATE("L",M136,"/F",N136)</f>
        <v>L0/F1</v>
      </c>
      <c r="J679" s="642">
        <v>0</v>
      </c>
      <c r="K679" s="643">
        <f>K678</f>
        <v>0</v>
      </c>
    </row>
    <row r="680" spans="1:11" ht="15">
      <c r="A680" s="562">
        <f aca="true" t="shared" si="100" ref="A680:A743">A679+500</f>
        <v>1000</v>
      </c>
      <c r="B680" s="277">
        <f>A680*Conversions!B$35</f>
        <v>304.8000831494627</v>
      </c>
      <c r="C680" s="685">
        <f aca="true" t="shared" si="101" ref="C680:C743">C$18*((D$18/(D$18+(E$18*(A680-B$18))))^((G$18*H$18)/(F$18*E$18)))</f>
        <v>28.855690908981558</v>
      </c>
      <c r="D680" s="278">
        <f>C680*Conversions!$B$53</f>
        <v>732.9345452305814</v>
      </c>
      <c r="E680" s="279">
        <f>C680*Conversions!$B$59</f>
        <v>14.172639574616609</v>
      </c>
      <c r="F680" s="686">
        <f>H680*Conversions!$D$67</f>
        <v>0.9965016652457367</v>
      </c>
      <c r="G680" s="687">
        <f aca="true" t="shared" si="102" ref="G680:G743">H680/100</f>
        <v>9.771656946774822</v>
      </c>
      <c r="H680" s="282">
        <f>C680*Conversions!$B$50</f>
        <v>977.1656946774823</v>
      </c>
      <c r="J680" s="642">
        <v>36089</v>
      </c>
      <c r="K680">
        <f aca="true" t="shared" si="103" ref="K680:K686">K679</f>
        <v>0</v>
      </c>
    </row>
    <row r="681" spans="1:11" ht="15">
      <c r="A681" s="562">
        <f t="shared" si="100"/>
        <v>1500</v>
      </c>
      <c r="B681" s="277">
        <f>A681*Conversions!B$35</f>
        <v>457.2001247241941</v>
      </c>
      <c r="C681" s="278">
        <f t="shared" si="101"/>
        <v>28.334551564961977</v>
      </c>
      <c r="D681" s="278">
        <f>C681*Conversions!$B$53</f>
        <v>719.6976059621521</v>
      </c>
      <c r="E681" s="279">
        <f>C681*Conversions!$B$59</f>
        <v>13.916678970026036</v>
      </c>
      <c r="F681" s="686">
        <f>H681*Conversions!$D$67</f>
        <v>0.9785046529482788</v>
      </c>
      <c r="G681" s="687">
        <f t="shared" si="102"/>
        <v>9.59517893738356</v>
      </c>
      <c r="H681" s="282">
        <f>C681*Conversions!$B$50</f>
        <v>959.5178937383561</v>
      </c>
      <c r="J681" s="517">
        <v>65617</v>
      </c>
      <c r="K681">
        <f t="shared" si="103"/>
        <v>0</v>
      </c>
    </row>
    <row r="682" spans="1:11" ht="15">
      <c r="A682" s="562">
        <f t="shared" si="100"/>
        <v>2000</v>
      </c>
      <c r="B682" s="277">
        <f>A682*Conversions!B$35</f>
        <v>609.6001662989254</v>
      </c>
      <c r="C682" s="278">
        <f t="shared" si="101"/>
        <v>27.821059689294888</v>
      </c>
      <c r="D682" s="278">
        <f>C682*Conversions!$B$53</f>
        <v>706.6549123888539</v>
      </c>
      <c r="E682" s="336">
        <f>C682*Conversions!$B$59</f>
        <v>13.664474463771835</v>
      </c>
      <c r="F682" s="280">
        <f>H682*Conversions!$D$67</f>
        <v>0.9607717381202668</v>
      </c>
      <c r="G682" s="687">
        <f t="shared" si="102"/>
        <v>9.421290657605343</v>
      </c>
      <c r="H682" s="282">
        <f>C682*Conversions!$B$50</f>
        <v>942.1290657605343</v>
      </c>
      <c r="J682" s="517">
        <v>104987</v>
      </c>
      <c r="K682">
        <f t="shared" si="103"/>
        <v>0</v>
      </c>
    </row>
    <row r="683" spans="1:11" ht="15">
      <c r="A683" s="562">
        <f t="shared" si="100"/>
        <v>2500</v>
      </c>
      <c r="B683" s="277">
        <f>A683*Conversions!B$35</f>
        <v>762.0002078736568</v>
      </c>
      <c r="C683" s="278">
        <f t="shared" si="101"/>
        <v>27.315129130412103</v>
      </c>
      <c r="D683" s="278">
        <f>C683*Conversions!$B$53</f>
        <v>693.804276260866</v>
      </c>
      <c r="E683" s="279">
        <f>C683*Conversions!$B$59</f>
        <v>13.415983742012745</v>
      </c>
      <c r="F683" s="280">
        <f>H683*Conversions!$D$67</f>
        <v>0.9432999456057276</v>
      </c>
      <c r="G683" s="281">
        <f t="shared" si="102"/>
        <v>9.249962933175295</v>
      </c>
      <c r="H683" s="282">
        <f>C683*Conversions!$B$50</f>
        <v>924.9962933175295</v>
      </c>
      <c r="J683" s="517">
        <v>154199</v>
      </c>
      <c r="K683">
        <f t="shared" si="103"/>
        <v>0</v>
      </c>
    </row>
    <row r="684" spans="1:11" ht="15">
      <c r="A684" s="562">
        <f t="shared" si="100"/>
        <v>3000</v>
      </c>
      <c r="B684" s="277">
        <f>A684*Conversions!B$35</f>
        <v>914.4002494483882</v>
      </c>
      <c r="C684" s="278">
        <f t="shared" si="101"/>
        <v>26.816674411528286</v>
      </c>
      <c r="D684" s="278">
        <f>C684*Conversions!$B$53</f>
        <v>681.1435264678526</v>
      </c>
      <c r="E684" s="279">
        <f>C684*Conversions!$B$59</f>
        <v>13.171164822331</v>
      </c>
      <c r="F684" s="280">
        <f>H684*Conversions!$D$67</f>
        <v>0.9260863235516213</v>
      </c>
      <c r="G684" s="281">
        <f t="shared" si="102"/>
        <v>9.081166818336206</v>
      </c>
      <c r="H684" s="282">
        <f>C684*Conversions!$B$50</f>
        <v>908.1166818336205</v>
      </c>
      <c r="J684" s="517">
        <v>167323</v>
      </c>
      <c r="K684">
        <f t="shared" si="103"/>
        <v>0</v>
      </c>
    </row>
    <row r="685" spans="1:11" ht="15">
      <c r="A685" s="562">
        <f t="shared" si="100"/>
        <v>3500</v>
      </c>
      <c r="B685" s="277">
        <f>A685*Conversions!B$35</f>
        <v>1066.8002910231196</v>
      </c>
      <c r="C685" s="278">
        <f t="shared" si="101"/>
        <v>26.325610727688417</v>
      </c>
      <c r="D685" s="278">
        <f>C685*Conversions!$B$53</f>
        <v>668.6705089639673</v>
      </c>
      <c r="E685" s="279">
        <f>C685*Conversions!$B$59</f>
        <v>12.92997605228219</v>
      </c>
      <c r="F685" s="280">
        <f>H685*Conversions!$D$67</f>
        <v>0.9091279433058784</v>
      </c>
      <c r="G685" s="281">
        <f t="shared" si="102"/>
        <v>8.914873594838683</v>
      </c>
      <c r="H685" s="282">
        <f>C685*Conversions!$B$50</f>
        <v>891.4873594838683</v>
      </c>
      <c r="J685" s="506">
        <v>232940</v>
      </c>
      <c r="K685">
        <f t="shared" si="103"/>
        <v>0</v>
      </c>
    </row>
    <row r="686" spans="1:11" ht="15">
      <c r="A686" s="562">
        <f t="shared" si="100"/>
        <v>4000</v>
      </c>
      <c r="B686" s="277">
        <f>A686*Conversions!B$35</f>
        <v>1219.2003325978508</v>
      </c>
      <c r="C686" s="278">
        <f t="shared" si="101"/>
        <v>25.84185394281768</v>
      </c>
      <c r="D686" s="278">
        <f>C686*Conversions!$B$53</f>
        <v>656.3830866929212</v>
      </c>
      <c r="E686" s="279">
        <f>C686*Conversions!$B$59</f>
        <v>12.692376107946277</v>
      </c>
      <c r="F686" s="280">
        <f>H686*Conversions!$D$67</f>
        <v>0.8924218993155205</v>
      </c>
      <c r="G686" s="281">
        <f t="shared" si="102"/>
        <v>8.751054770942137</v>
      </c>
      <c r="H686" s="282">
        <f>C686*Conversions!$B$50</f>
        <v>875.1054770942137</v>
      </c>
      <c r="J686" s="535">
        <v>280001</v>
      </c>
      <c r="K686">
        <f t="shared" si="103"/>
        <v>0</v>
      </c>
    </row>
    <row r="687" spans="1:11" ht="15">
      <c r="A687" s="562">
        <f t="shared" si="100"/>
        <v>4500</v>
      </c>
      <c r="B687" s="277">
        <f>A687*Conversions!B$35</f>
        <v>1371.6003741725822</v>
      </c>
      <c r="C687" s="278">
        <f t="shared" si="101"/>
        <v>25.365320586774256</v>
      </c>
      <c r="D687" s="278">
        <f>C687*Conversions!$B$53</f>
        <v>644.2791395131234</v>
      </c>
      <c r="E687" s="279">
        <f>C687*Conversions!$B$59</f>
        <v>12.458323992480079</v>
      </c>
      <c r="F687" s="280">
        <f>H687*Conversions!$D$67</f>
        <v>0.8759653090248822</v>
      </c>
      <c r="G687" s="281">
        <f t="shared" si="102"/>
        <v>8.58968208041674</v>
      </c>
      <c r="H687" s="282">
        <f>C687*Conversions!$B$50</f>
        <v>858.968208041674</v>
      </c>
      <c r="K687">
        <f aca="true" t="shared" si="104" ref="K687:K743">K686</f>
        <v>0</v>
      </c>
    </row>
    <row r="688" spans="1:11" ht="15">
      <c r="A688" s="562">
        <f t="shared" si="100"/>
        <v>5000</v>
      </c>
      <c r="B688" s="277">
        <f>A688*Conversions!B$35</f>
        <v>1524.0004157473136</v>
      </c>
      <c r="C688" s="278">
        <f t="shared" si="101"/>
        <v>24.895927852404544</v>
      </c>
      <c r="D688" s="278">
        <f>C688*Conversions!$B$53</f>
        <v>632.356564122883</v>
      </c>
      <c r="E688" s="279">
        <f>C688*Conversions!$B$59</f>
        <v>12.227779034670904</v>
      </c>
      <c r="F688" s="280">
        <f>H688*Conversions!$D$67</f>
        <v>0.8597553127739147</v>
      </c>
      <c r="G688" s="281">
        <f t="shared" si="102"/>
        <v>8.430727481546201</v>
      </c>
      <c r="H688" s="282">
        <f>C688*Conversions!$B$50</f>
        <v>843.0727481546201</v>
      </c>
      <c r="K688">
        <f t="shared" si="104"/>
        <v>0</v>
      </c>
    </row>
    <row r="689" spans="1:11" ht="15">
      <c r="A689" s="562">
        <f t="shared" si="100"/>
        <v>5500</v>
      </c>
      <c r="B689" s="277">
        <f>A689*Conversions!B$35</f>
        <v>1676.400457322045</v>
      </c>
      <c r="C689" s="278">
        <f t="shared" si="101"/>
        <v>24.433593592601166</v>
      </c>
      <c r="D689" s="278">
        <f>C689*Conversions!$B$53</f>
        <v>620.613273985684</v>
      </c>
      <c r="E689" s="279">
        <f>C689*Conversions!$B$59</f>
        <v>12.000700887491595</v>
      </c>
      <c r="F689" s="280">
        <f>H689*Conversions!$D$67</f>
        <v>0.8437890736965887</v>
      </c>
      <c r="G689" s="281">
        <f t="shared" si="102"/>
        <v>8.274163156131504</v>
      </c>
      <c r="H689" s="282">
        <f>C689*Conversions!$B$50</f>
        <v>827.4163156131505</v>
      </c>
      <c r="K689">
        <f t="shared" si="104"/>
        <v>0</v>
      </c>
    </row>
    <row r="690" spans="1:11" ht="15">
      <c r="A690" s="562">
        <f t="shared" si="100"/>
        <v>6000</v>
      </c>
      <c r="B690" s="277">
        <f>A690*Conversions!B$35</f>
        <v>1828.8004988967764</v>
      </c>
      <c r="C690" s="278">
        <f t="shared" si="101"/>
        <v>23.978236317363535</v>
      </c>
      <c r="D690" s="278">
        <f>C690*Conversions!$B$53</f>
        <v>609.0471992555223</v>
      </c>
      <c r="E690" s="279">
        <f>C690*Conversions!$B$59</f>
        <v>11.777049526656782</v>
      </c>
      <c r="F690" s="280">
        <f>H690*Conversions!$D$67</f>
        <v>0.8280637776193833</v>
      </c>
      <c r="G690" s="281">
        <f t="shared" si="102"/>
        <v>8.1199615084955</v>
      </c>
      <c r="H690" s="282">
        <f>C690*Conversions!$B$50</f>
        <v>811.99615084955</v>
      </c>
      <c r="K690">
        <f t="shared" si="104"/>
        <v>0</v>
      </c>
    </row>
    <row r="691" spans="1:11" ht="15">
      <c r="A691" s="562">
        <f t="shared" si="100"/>
        <v>6500</v>
      </c>
      <c r="B691" s="277">
        <f>A691*Conversions!B$35</f>
        <v>1981.2005404715076</v>
      </c>
      <c r="C691" s="278">
        <f t="shared" si="101"/>
        <v>23.52977519086138</v>
      </c>
      <c r="D691" s="278">
        <f>C691*Conversions!$B$53</f>
        <v>597.6562867023197</v>
      </c>
      <c r="E691" s="279">
        <f>C691*Conversions!$B$59</f>
        <v>11.556785249180644</v>
      </c>
      <c r="F691" s="280">
        <f>H691*Conversions!$D$67</f>
        <v>0.8125766329598777</v>
      </c>
      <c r="G691" s="281">
        <f t="shared" si="102"/>
        <v>7.968095164488492</v>
      </c>
      <c r="H691" s="282">
        <f>C691*Conversions!$B$50</f>
        <v>796.8095164488492</v>
      </c>
      <c r="K691">
        <f t="shared" si="104"/>
        <v>0</v>
      </c>
    </row>
    <row r="692" spans="1:11" ht="15">
      <c r="A692" s="562">
        <f t="shared" si="100"/>
        <v>7000</v>
      </c>
      <c r="B692" s="277">
        <f>A692*Conversions!B$35</f>
        <v>2133.600582046239</v>
      </c>
      <c r="C692" s="278">
        <f t="shared" si="101"/>
        <v>23.088130028500455</v>
      </c>
      <c r="D692" s="278">
        <f>C692*Conversions!$B$53</f>
        <v>586.4384996373932</v>
      </c>
      <c r="E692" s="279">
        <f>C692*Conversions!$B$59</f>
        <v>11.339868671935697</v>
      </c>
      <c r="F692" s="280">
        <f>H692*Conversions!$D$67</f>
        <v>0.797324870625419</v>
      </c>
      <c r="G692" s="281">
        <f t="shared" si="102"/>
        <v>7.818536970494587</v>
      </c>
      <c r="H692" s="282">
        <f>C692*Conversions!$B$50</f>
        <v>781.8536970494587</v>
      </c>
      <c r="K692">
        <f t="shared" si="104"/>
        <v>0</v>
      </c>
    </row>
    <row r="693" spans="1:11" ht="15">
      <c r="A693" s="562">
        <f t="shared" si="100"/>
        <v>7500</v>
      </c>
      <c r="B693" s="277">
        <f>A693*Conversions!B$35</f>
        <v>2286.0006236209706</v>
      </c>
      <c r="C693" s="278">
        <f t="shared" si="101"/>
        <v>22.65322129399151</v>
      </c>
      <c r="D693" s="278">
        <f>C693*Conversions!$B$53</f>
        <v>575.3918178390064</v>
      </c>
      <c r="E693" s="279">
        <f>C693*Conversions!$B$59</f>
        <v>11.126260730213207</v>
      </c>
      <c r="F693" s="280">
        <f>H693*Conversions!$D$67</f>
        <v>0.7823057439119019</v>
      </c>
      <c r="G693" s="281">
        <f t="shared" si="102"/>
        <v>7.671259992439121</v>
      </c>
      <c r="H693" s="282">
        <f>C693*Conversions!$B$50</f>
        <v>767.1259992439121</v>
      </c>
      <c r="K693">
        <f t="shared" si="104"/>
        <v>0</v>
      </c>
    </row>
    <row r="694" spans="1:11" ht="15">
      <c r="A694" s="562">
        <f t="shared" si="100"/>
        <v>8000</v>
      </c>
      <c r="B694" s="277">
        <f>A694*Conversions!B$35</f>
        <v>2438.4006651957015</v>
      </c>
      <c r="C694" s="278">
        <f t="shared" si="101"/>
        <v>22.224970096421423</v>
      </c>
      <c r="D694" s="278">
        <f>C694*Conversions!$B$53</f>
        <v>564.5142374779766</v>
      </c>
      <c r="E694" s="279">
        <f>C694*Conversions!$B$59</f>
        <v>10.915922676284662</v>
      </c>
      <c r="F694" s="280">
        <f>H694*Conversions!$D$67</f>
        <v>0.7675165284026229</v>
      </c>
      <c r="G694" s="281">
        <f t="shared" si="102"/>
        <v>7.52623751479684</v>
      </c>
      <c r="H694" s="282">
        <f>C694*Conversions!$B$50</f>
        <v>752.623751479684</v>
      </c>
      <c r="K694">
        <f t="shared" si="104"/>
        <v>0</v>
      </c>
    </row>
    <row r="695" spans="1:11" ht="15">
      <c r="A695" s="562">
        <f t="shared" si="100"/>
        <v>8500</v>
      </c>
      <c r="B695" s="277">
        <f>A695*Conversions!B$35</f>
        <v>2590.800706770433</v>
      </c>
      <c r="C695" s="278">
        <f t="shared" si="101"/>
        <v>21.803298187327535</v>
      </c>
      <c r="D695" s="278">
        <f>C695*Conversions!$B$53</f>
        <v>553.8037710433628</v>
      </c>
      <c r="E695" s="279">
        <f>C695*Conversions!$B$59</f>
        <v>10.708816077964814</v>
      </c>
      <c r="F695" s="280">
        <f>H695*Conversions!$D$67</f>
        <v>0.7529545218672459</v>
      </c>
      <c r="G695" s="281">
        <f t="shared" si="102"/>
        <v>7.383443039601149</v>
      </c>
      <c r="H695" s="282">
        <f>C695*Conversions!$B$50</f>
        <v>738.3443039601149</v>
      </c>
      <c r="K695">
        <f t="shared" si="104"/>
        <v>0</v>
      </c>
    </row>
    <row r="696" spans="1:11" ht="15">
      <c r="A696" s="562">
        <f t="shared" si="100"/>
        <v>9000</v>
      </c>
      <c r="B696" s="277">
        <f>A696*Conversions!B$35</f>
        <v>2743.2007483451644</v>
      </c>
      <c r="C696" s="278">
        <f t="shared" si="101"/>
        <v>21.388127957774287</v>
      </c>
      <c r="D696" s="278">
        <f>C696*Conversions!$B$53</f>
        <v>543.258447268212</v>
      </c>
      <c r="E696" s="279">
        <f>C696*Conversions!$B$59</f>
        <v>10.504902817175845</v>
      </c>
      <c r="F696" s="280">
        <f>H696*Conversions!$D$67</f>
        <v>0.7386170441608467</v>
      </c>
      <c r="G696" s="281">
        <f t="shared" si="102"/>
        <v>7.242850285454154</v>
      </c>
      <c r="H696" s="282">
        <f>C696*Conversions!$B$50</f>
        <v>724.2850285454155</v>
      </c>
      <c r="K696">
        <f t="shared" si="104"/>
        <v>0</v>
      </c>
    </row>
    <row r="697" spans="1:11" ht="15">
      <c r="A697" s="562">
        <f t="shared" si="100"/>
        <v>9500</v>
      </c>
      <c r="B697" s="277">
        <f>A697*Conversions!B$35</f>
        <v>2895.6007899198958</v>
      </c>
      <c r="C697" s="278">
        <f t="shared" si="101"/>
        <v>20.97938243543288</v>
      </c>
      <c r="D697" s="278">
        <f>C697*Conversions!$B$53</f>
        <v>532.876311055383</v>
      </c>
      <c r="E697" s="279">
        <f>C697*Conversions!$B$59</f>
        <v>10.304145088513037</v>
      </c>
      <c r="F697" s="280">
        <f>H697*Conversions!$D$67</f>
        <v>0.7245014371230624</v>
      </c>
      <c r="G697" s="281">
        <f t="shared" si="102"/>
        <v>7.1044331865377215</v>
      </c>
      <c r="H697" s="282">
        <f>C697*Conversions!$B$50</f>
        <v>710.4433186537722</v>
      </c>
      <c r="K697">
        <f t="shared" si="104"/>
        <v>0</v>
      </c>
    </row>
    <row r="698" spans="1:11" ht="15">
      <c r="A698" s="562">
        <f t="shared" si="100"/>
        <v>10000</v>
      </c>
      <c r="B698" s="277">
        <f>A698*Conversions!B$35</f>
        <v>3048.000831494627</v>
      </c>
      <c r="C698" s="278">
        <f t="shared" si="101"/>
        <v>20.576985281663344</v>
      </c>
      <c r="D698" s="278">
        <f>C698*Conversions!$B$53</f>
        <v>522.655423403431</v>
      </c>
      <c r="E698" s="279">
        <f>C698*Conversions!$B$59</f>
        <v>10.106505397811606</v>
      </c>
      <c r="F698" s="280">
        <f>H698*Conversions!$D$67</f>
        <v>0.7106050644773229</v>
      </c>
      <c r="G698" s="281">
        <f t="shared" si="102"/>
        <v>6.968165891625348</v>
      </c>
      <c r="H698" s="282">
        <f>C698*Conversions!$B$50</f>
        <v>696.8165891625348</v>
      </c>
      <c r="K698">
        <f t="shared" si="104"/>
        <v>0</v>
      </c>
    </row>
    <row r="699" spans="1:11" ht="15">
      <c r="A699" s="562">
        <f t="shared" si="100"/>
        <v>10500</v>
      </c>
      <c r="B699" s="277">
        <f>A699*Conversions!B$35</f>
        <v>3200.4008730693586</v>
      </c>
      <c r="C699" s="278">
        <f t="shared" si="101"/>
        <v>20.1808607885998</v>
      </c>
      <c r="D699" s="278">
        <f>C699*Conversions!$B$53</f>
        <v>512.5938613325726</v>
      </c>
      <c r="E699" s="279">
        <f>C699*Conversions!$B$59</f>
        <v>9.911946560715112</v>
      </c>
      <c r="F699" s="280">
        <f>H699*Conversions!$D$67</f>
        <v>0.6969253117301938</v>
      </c>
      <c r="G699" s="281">
        <f t="shared" si="102"/>
        <v>6.83402276309512</v>
      </c>
      <c r="H699" s="282">
        <f>C699*Conversions!$B$50</f>
        <v>683.402276309512</v>
      </c>
      <c r="K699">
        <f t="shared" si="104"/>
        <v>0</v>
      </c>
    </row>
    <row r="700" spans="1:11" ht="15">
      <c r="A700" s="562">
        <f t="shared" si="100"/>
        <v>11000</v>
      </c>
      <c r="B700" s="277">
        <f>A700*Conversions!B$35</f>
        <v>3352.80091464409</v>
      </c>
      <c r="C700" s="278">
        <f t="shared" si="101"/>
        <v>19.790933876237872</v>
      </c>
      <c r="D700" s="278">
        <f>C700*Conversions!$B$53</f>
        <v>502.6897178107066</v>
      </c>
      <c r="E700" s="279">
        <f>C700*Conversions!$B$59</f>
        <v>9.720431701244927</v>
      </c>
      <c r="F700" s="280">
        <f>H700*Conversions!$D$67</f>
        <v>0.6834595860707938</v>
      </c>
      <c r="G700" s="281">
        <f t="shared" si="102"/>
        <v>6.701978375943401</v>
      </c>
      <c r="H700" s="282">
        <f>C700*Conversions!$B$50</f>
        <v>670.1978375943402</v>
      </c>
      <c r="K700">
        <f t="shared" si="104"/>
        <v>0</v>
      </c>
    </row>
    <row r="701" spans="1:11" ht="15">
      <c r="A701" s="562">
        <f t="shared" si="100"/>
        <v>11500</v>
      </c>
      <c r="B701" s="277">
        <f>A701*Conversions!B$35</f>
        <v>3505.2009562188214</v>
      </c>
      <c r="C701" s="278">
        <f t="shared" si="101"/>
        <v>19.40713008952547</v>
      </c>
      <c r="D701" s="278">
        <f>C701*Conversions!$B$53</f>
        <v>492.9411016795201</v>
      </c>
      <c r="E701" s="279">
        <f>C701*Conversions!$B$59</f>
        <v>9.531924250371352</v>
      </c>
      <c r="F701" s="280">
        <f>H701*Conversions!$D$67</f>
        <v>0.6702053162703266</v>
      </c>
      <c r="G701" s="281">
        <f t="shared" si="102"/>
        <v>6.572007516799655</v>
      </c>
      <c r="H701" s="282">
        <f>C701*Conversions!$B$50</f>
        <v>657.2007516799655</v>
      </c>
      <c r="K701">
        <f t="shared" si="104"/>
        <v>0</v>
      </c>
    </row>
    <row r="702" spans="1:11" ht="15">
      <c r="A702" s="562">
        <f t="shared" si="100"/>
        <v>12000</v>
      </c>
      <c r="B702" s="277">
        <f>A702*Conversions!B$35</f>
        <v>3657.600997793553</v>
      </c>
      <c r="C702" s="278">
        <f t="shared" si="101"/>
        <v>19.02937559545578</v>
      </c>
      <c r="D702" s="278">
        <f>C702*Conversions!$B$53</f>
        <v>483.3461375806498</v>
      </c>
      <c r="E702" s="279">
        <f>C702*Conversions!$B$59</f>
        <v>9.346387944585826</v>
      </c>
      <c r="F702" s="280">
        <f>H702*Conversions!$D$67</f>
        <v>0.6571599525816915</v>
      </c>
      <c r="G702" s="281">
        <f t="shared" si="102"/>
        <v>6.444085182942018</v>
      </c>
      <c r="H702" s="282">
        <f>C702*Conversions!$B$50</f>
        <v>644.4085182942018</v>
      </c>
      <c r="K702">
        <f t="shared" si="104"/>
        <v>0</v>
      </c>
    </row>
    <row r="703" spans="1:11" ht="15">
      <c r="A703" s="562">
        <f t="shared" si="100"/>
        <v>12500</v>
      </c>
      <c r="B703" s="277">
        <f>A703*Conversions!B$35</f>
        <v>3810.001039368284</v>
      </c>
      <c r="C703" s="278">
        <f t="shared" si="101"/>
        <v>18.657597180163474</v>
      </c>
      <c r="D703" s="278">
        <f>C703*Conversions!$B$53</f>
        <v>473.90296588192615</v>
      </c>
      <c r="E703" s="279">
        <f>C703*Conversions!$B$59</f>
        <v>9.163786824474718</v>
      </c>
      <c r="F703" s="280">
        <f>H703*Conversions!$D$67</f>
        <v>0.6443209666392031</v>
      </c>
      <c r="G703" s="281">
        <f t="shared" si="102"/>
        <v>6.318186581313969</v>
      </c>
      <c r="H703" s="282">
        <f>C703*Conversions!$B$50</f>
        <v>631.8186581313969</v>
      </c>
      <c r="K703">
        <f t="shared" si="104"/>
        <v>0</v>
      </c>
    </row>
    <row r="704" spans="1:11" ht="15">
      <c r="A704" s="562">
        <f t="shared" si="100"/>
        <v>13000</v>
      </c>
      <c r="B704" s="277">
        <f>A704*Conversions!B$35</f>
        <v>3962.401080943015</v>
      </c>
      <c r="C704" s="278">
        <f t="shared" si="101"/>
        <v>18.29172224602333</v>
      </c>
      <c r="D704" s="278">
        <f>C704*Conversions!$B$53</f>
        <v>464.60974260367817</v>
      </c>
      <c r="E704" s="279">
        <f>C704*Conversions!$B$59</f>
        <v>8.984085233294282</v>
      </c>
      <c r="F704" s="280">
        <f>H704*Conversions!$D$67</f>
        <v>0.6316858513583956</v>
      </c>
      <c r="G704" s="281">
        <f t="shared" si="102"/>
        <v>6.194287127541801</v>
      </c>
      <c r="H704" s="282">
        <f>C704*Conversions!$B$50</f>
        <v>619.4287127541801</v>
      </c>
      <c r="K704">
        <f t="shared" si="104"/>
        <v>0</v>
      </c>
    </row>
    <row r="705" spans="1:11" ht="15">
      <c r="A705" s="562">
        <f t="shared" si="100"/>
        <v>13500</v>
      </c>
      <c r="B705" s="277">
        <f>A705*Conversions!B$35</f>
        <v>4114.801122517747</v>
      </c>
      <c r="C705" s="278">
        <f t="shared" si="101"/>
        <v>17.931678808751897</v>
      </c>
      <c r="D705" s="278">
        <f>C705*Conversions!$B$53</f>
        <v>455.4646393451159</v>
      </c>
      <c r="E705" s="279">
        <f>C705*Conversions!$B$59</f>
        <v>8.807247815547136</v>
      </c>
      <c r="F705" s="280">
        <f>H705*Conversions!$D$67</f>
        <v>0.6192521208359321</v>
      </c>
      <c r="G705" s="281">
        <f t="shared" si="102"/>
        <v>6.07236244495314</v>
      </c>
      <c r="H705" s="282">
        <f>C705*Conversions!$B$50</f>
        <v>607.236244495314</v>
      </c>
      <c r="K705">
        <f t="shared" si="104"/>
        <v>0</v>
      </c>
    </row>
    <row r="706" spans="1:11" ht="15">
      <c r="A706" s="562">
        <f t="shared" si="100"/>
        <v>14000</v>
      </c>
      <c r="B706" s="277">
        <f>A706*Conversions!B$35</f>
        <v>4267.201164092478</v>
      </c>
      <c r="C706" s="278">
        <f t="shared" si="101"/>
        <v>17.577395494511705</v>
      </c>
      <c r="D706" s="278">
        <f>C706*Conversions!$B$53</f>
        <v>446.4658432107771</v>
      </c>
      <c r="E706" s="279">
        <f>C706*Conversions!$B$59</f>
        <v>8.633239515559973</v>
      </c>
      <c r="F706" s="280">
        <f>H706*Conversions!$D$67</f>
        <v>0.6070173102496002</v>
      </c>
      <c r="G706" s="281">
        <f t="shared" si="102"/>
        <v>5.952388363596315</v>
      </c>
      <c r="H706" s="282">
        <f>C706*Conversions!$B$50</f>
        <v>595.2388363596315</v>
      </c>
      <c r="K706">
        <f t="shared" si="104"/>
        <v>0</v>
      </c>
    </row>
    <row r="707" spans="1:11" ht="15">
      <c r="A707" s="562">
        <f t="shared" si="100"/>
        <v>14500</v>
      </c>
      <c r="B707" s="277">
        <f>A707*Conversions!B$35</f>
        <v>4419.60120566721</v>
      </c>
      <c r="C707" s="278">
        <f t="shared" si="101"/>
        <v>17.228801537018597</v>
      </c>
      <c r="D707" s="278">
        <f>C707*Conversions!$B$53</f>
        <v>437.61155673705366</v>
      </c>
      <c r="E707" s="279">
        <f>C707*Conversions!$B$59</f>
        <v>8.462025576062816</v>
      </c>
      <c r="F707" s="280">
        <f>H707*Conversions!$D$67</f>
        <v>0.594978975758418</v>
      </c>
      <c r="G707" s="281">
        <f t="shared" si="102"/>
        <v>5.834340919260785</v>
      </c>
      <c r="H707" s="282">
        <f>C707*Conversions!$B$50</f>
        <v>583.4340919260785</v>
      </c>
      <c r="K707">
        <f t="shared" si="104"/>
        <v>0</v>
      </c>
    </row>
    <row r="708" spans="1:11" ht="15">
      <c r="A708" s="562">
        <f t="shared" si="100"/>
        <v>15000</v>
      </c>
      <c r="B708" s="277">
        <f>A708*Conversions!B$35</f>
        <v>4572.001247241941</v>
      </c>
      <c r="C708" s="278">
        <f t="shared" si="101"/>
        <v>16.885826774651502</v>
      </c>
      <c r="D708" s="278">
        <f>C708*Conversions!$B$53</f>
        <v>428.89999781877975</v>
      </c>
      <c r="E708" s="279">
        <f>C708*Conversions!$B$59</f>
        <v>8.293571536769456</v>
      </c>
      <c r="F708" s="280">
        <f>H708*Conversions!$D$67</f>
        <v>0.5831346944028227</v>
      </c>
      <c r="G708" s="281">
        <f t="shared" si="102"/>
        <v>5.718196352498403</v>
      </c>
      <c r="H708" s="282">
        <f>C708*Conversions!$B$50</f>
        <v>571.8196352498403</v>
      </c>
      <c r="K708">
        <f t="shared" si="104"/>
        <v>0</v>
      </c>
    </row>
    <row r="709" spans="1:11" ht="15">
      <c r="A709" s="562">
        <f t="shared" si="100"/>
        <v>15500</v>
      </c>
      <c r="B709" s="277">
        <f>A709*Conversions!B$35</f>
        <v>4724.401288816673</v>
      </c>
      <c r="C709" s="278">
        <f t="shared" si="101"/>
        <v>16.54840164756529</v>
      </c>
      <c r="D709" s="278">
        <f>C709*Conversions!$B$53</f>
        <v>420.32939963589837</v>
      </c>
      <c r="E709" s="279">
        <f>C709*Conversions!$B$59</f>
        <v>8.127843232959423</v>
      </c>
      <c r="F709" s="280">
        <f>H709*Conversions!$D$67</f>
        <v>0.5714820640049656</v>
      </c>
      <c r="G709" s="281">
        <f t="shared" si="102"/>
        <v>5.60393110764571</v>
      </c>
      <c r="H709" s="282">
        <f>C709*Conversions!$B$50</f>
        <v>560.393110764571</v>
      </c>
      <c r="K709">
        <f t="shared" si="104"/>
        <v>0</v>
      </c>
    </row>
    <row r="710" spans="1:11" ht="15">
      <c r="A710" s="562">
        <f t="shared" si="100"/>
        <v>16000</v>
      </c>
      <c r="B710" s="277">
        <f>A710*Conversions!B$35</f>
        <v>4876.801330391403</v>
      </c>
      <c r="C710" s="278">
        <f t="shared" si="101"/>
        <v>16.216457194806246</v>
      </c>
      <c r="D710" s="278">
        <f>C710*Conversions!$B$53</f>
        <v>411.8980105801944</v>
      </c>
      <c r="E710" s="279">
        <f>C710*Conversions!$B$59</f>
        <v>7.964806794061232</v>
      </c>
      <c r="F710" s="280">
        <f>H710*Conversions!$D$67</f>
        <v>0.5600187030690987</v>
      </c>
      <c r="G710" s="281">
        <f t="shared" si="102"/>
        <v>5.491521831847132</v>
      </c>
      <c r="H710" s="282">
        <f>C710*Conversions!$B$50</f>
        <v>549.1521831847132</v>
      </c>
      <c r="K710">
        <f t="shared" si="104"/>
        <v>0</v>
      </c>
    </row>
    <row r="711" spans="1:11" ht="15">
      <c r="A711" s="562">
        <f t="shared" si="100"/>
        <v>16500</v>
      </c>
      <c r="B711" s="277">
        <f>A711*Conversions!B$35</f>
        <v>5029.2013719661345</v>
      </c>
      <c r="C711" s="278">
        <f t="shared" si="101"/>
        <v>15.889925051430657</v>
      </c>
      <c r="D711" s="278">
        <f>C711*Conversions!$B$53</f>
        <v>403.6040941821066</v>
      </c>
      <c r="E711" s="279">
        <f>C711*Conversions!$B$59</f>
        <v>7.8044286422371565</v>
      </c>
      <c r="F711" s="280">
        <f>H711*Conversions!$D$67</f>
        <v>0.548742250682067</v>
      </c>
      <c r="G711" s="281">
        <f t="shared" si="102"/>
        <v>5.380945374079205</v>
      </c>
      <c r="H711" s="282">
        <f>C711*Conversions!$B$50</f>
        <v>538.0945374079205</v>
      </c>
      <c r="K711">
        <f t="shared" si="104"/>
        <v>0</v>
      </c>
    </row>
    <row r="712" spans="1:11" ht="15">
      <c r="A712" s="562">
        <f t="shared" si="100"/>
        <v>17000</v>
      </c>
      <c r="B712" s="277">
        <f>A712*Conversions!B$35</f>
        <v>5181.601413540866</v>
      </c>
      <c r="C712" s="278">
        <f t="shared" si="101"/>
        <v>15.568737445625814</v>
      </c>
      <c r="D712" s="278">
        <f>C712*Conversions!$B$53</f>
        <v>395.44592903760133</v>
      </c>
      <c r="E712" s="279">
        <f>C712*Conversions!$B$59</f>
        <v>7.646675490969196</v>
      </c>
      <c r="F712" s="280">
        <f>H712*Conversions!$D$67</f>
        <v>0.5376503664138862</v>
      </c>
      <c r="G712" s="281">
        <f t="shared" si="102"/>
        <v>5.272178784175652</v>
      </c>
      <c r="H712" s="282">
        <f>C712*Conversions!$B$50</f>
        <v>527.2178784175652</v>
      </c>
      <c r="K712">
        <f t="shared" si="104"/>
        <v>0</v>
      </c>
    </row>
    <row r="713" spans="1:11" ht="15">
      <c r="A713" s="562">
        <f t="shared" si="100"/>
        <v>17500</v>
      </c>
      <c r="B713" s="277">
        <f>A713*Conversions!B$35</f>
        <v>5334.001455115597</v>
      </c>
      <c r="C713" s="278">
        <f t="shared" si="101"/>
        <v>15.252827195834284</v>
      </c>
      <c r="D713" s="278">
        <f>C713*Conversions!$B$53</f>
        <v>387.4218087351287</v>
      </c>
      <c r="E713" s="279">
        <f>C713*Conversions!$B$59</f>
        <v>7.491514343646646</v>
      </c>
      <c r="F713" s="280">
        <f>H713*Conversions!$D$67</f>
        <v>0.5267407302184324</v>
      </c>
      <c r="G713" s="281">
        <f t="shared" si="102"/>
        <v>5.1651993118535415</v>
      </c>
      <c r="H713" s="282">
        <f>C713*Conversions!$B$50</f>
        <v>516.5199311853542</v>
      </c>
      <c r="K713">
        <f t="shared" si="104"/>
        <v>0</v>
      </c>
    </row>
    <row r="714" spans="1:11" ht="15">
      <c r="A714" s="562">
        <f t="shared" si="100"/>
        <v>18000</v>
      </c>
      <c r="B714" s="277">
        <f>A714*Conversions!B$35</f>
        <v>5486.401496690329</v>
      </c>
      <c r="C714" s="278">
        <f t="shared" si="101"/>
        <v>14.942127707880765</v>
      </c>
      <c r="D714" s="278">
        <f>C714*Conversions!$B$53</f>
        <v>379.5300417826449</v>
      </c>
      <c r="E714" s="279">
        <f>C714*Conversions!$B$59</f>
        <v>7.338912492154933</v>
      </c>
      <c r="F714" s="280">
        <f>H714*Conversions!$D$67</f>
        <v>0.5160110423342198</v>
      </c>
      <c r="G714" s="281">
        <f t="shared" si="102"/>
        <v>5.0599844057403285</v>
      </c>
      <c r="H714" s="282">
        <f>C714*Conversions!$B$50</f>
        <v>505.9984405740328</v>
      </c>
      <c r="K714">
        <f t="shared" si="104"/>
        <v>0</v>
      </c>
    </row>
    <row r="715" spans="1:11" ht="15">
      <c r="A715" s="562">
        <f t="shared" si="100"/>
        <v>18500</v>
      </c>
      <c r="B715" s="277">
        <f>A715*Conversions!B$35</f>
        <v>5638.80153826506</v>
      </c>
      <c r="C715" s="278">
        <f t="shared" si="101"/>
        <v>14.636572972101867</v>
      </c>
      <c r="D715" s="278">
        <f>C715*Conversions!$B$53</f>
        <v>371.7689515347087</v>
      </c>
      <c r="E715" s="279">
        <f>C715*Conversions!$B$59</f>
        <v>7.1888375154658934</v>
      </c>
      <c r="F715" s="280">
        <f>H715*Conversions!$D$67</f>
        <v>0.5054590231852824</v>
      </c>
      <c r="G715" s="281">
        <f t="shared" si="102"/>
        <v>4.95651171240189</v>
      </c>
      <c r="H715" s="282">
        <f>C715*Conversions!$B$50</f>
        <v>495.651171240189</v>
      </c>
      <c r="K715">
        <f t="shared" si="104"/>
        <v>0</v>
      </c>
    </row>
    <row r="716" spans="1:11" ht="15">
      <c r="A716" s="562">
        <f t="shared" si="100"/>
        <v>19000</v>
      </c>
      <c r="B716" s="277">
        <f>A716*Conversions!B$35</f>
        <v>5791.2015798397915</v>
      </c>
      <c r="C716" s="278">
        <f t="shared" si="101"/>
        <v>14.336097560478834</v>
      </c>
      <c r="D716" s="278">
        <f>C716*Conversions!$B$53</f>
        <v>364.1368761196525</v>
      </c>
      <c r="E716" s="279">
        <f>C716*Conversions!$B$59</f>
        <v>7.041257278229491</v>
      </c>
      <c r="F716" s="280">
        <f>H716*Conversions!$D$67</f>
        <v>0.49508241328215397</v>
      </c>
      <c r="G716" s="281">
        <f t="shared" si="102"/>
        <v>4.854759075371551</v>
      </c>
      <c r="H716" s="282">
        <f>C716*Conversions!$B$50</f>
        <v>485.47590753715514</v>
      </c>
      <c r="K716">
        <f t="shared" si="104"/>
        <v>0</v>
      </c>
    </row>
    <row r="717" spans="1:11" ht="15">
      <c r="A717" s="562">
        <f t="shared" si="100"/>
        <v>19500</v>
      </c>
      <c r="B717" s="277">
        <f>A717*Conversions!B$35</f>
        <v>5943.601621414523</v>
      </c>
      <c r="C717" s="278">
        <f t="shared" si="101"/>
        <v>14.04063662377301</v>
      </c>
      <c r="D717" s="278">
        <f>C717*Conversions!$B$53</f>
        <v>356.63216836682307</v>
      </c>
      <c r="E717" s="279">
        <f>C717*Conversions!$B$59</f>
        <v>6.896139929366883</v>
      </c>
      <c r="F717" s="280">
        <f>H717*Conversions!$D$67</f>
        <v>0.48487897312294514</v>
      </c>
      <c r="G717" s="281">
        <f t="shared" si="102"/>
        <v>4.754704534180045</v>
      </c>
      <c r="H717" s="282">
        <f>C717*Conversions!$B$50</f>
        <v>475.4704534180045</v>
      </c>
      <c r="K717">
        <f t="shared" si="104"/>
        <v>0</v>
      </c>
    </row>
    <row r="718" spans="1:11" ht="15">
      <c r="A718" s="562">
        <f t="shared" si="100"/>
        <v>20000</v>
      </c>
      <c r="B718" s="277">
        <f>A718*Conversions!B$35</f>
        <v>6096.001662989254</v>
      </c>
      <c r="C718" s="278">
        <f t="shared" si="101"/>
        <v>13.750125888664355</v>
      </c>
      <c r="D718" s="278">
        <f>C718*Conversions!$B$53</f>
        <v>349.25319573389993</v>
      </c>
      <c r="E718" s="279">
        <f>C718*Conversions!$B$59</f>
        <v>6.753453900664991</v>
      </c>
      <c r="F718" s="280">
        <f>H718*Conversions!$D$67</f>
        <v>0.4748464830945248</v>
      </c>
      <c r="G718" s="281">
        <f t="shared" si="102"/>
        <v>4.6563263233865015</v>
      </c>
      <c r="H718" s="282">
        <f>C718*Conversions!$B$50</f>
        <v>465.6326323386501</v>
      </c>
      <c r="K718">
        <f t="shared" si="104"/>
        <v>0</v>
      </c>
    </row>
    <row r="719" spans="1:11" ht="15">
      <c r="A719" s="562">
        <f t="shared" si="100"/>
        <v>20500</v>
      </c>
      <c r="B719" s="277">
        <f>A719*Conversions!B$35</f>
        <v>6248.401704563986</v>
      </c>
      <c r="C719" s="278">
        <f t="shared" si="101"/>
        <v>13.464501654892654</v>
      </c>
      <c r="D719" s="278">
        <f>C719*Conversions!$B$53</f>
        <v>341.9983402342822</v>
      </c>
      <c r="E719" s="279">
        <f>C719*Conversions!$B$59</f>
        <v>6.613167905372382</v>
      </c>
      <c r="F719" s="280">
        <f>H719*Conversions!$D$67</f>
        <v>0.4649827433737945</v>
      </c>
      <c r="G719" s="281">
        <f t="shared" si="102"/>
        <v>4.559602871610347</v>
      </c>
      <c r="H719" s="282">
        <f>C719*Conversions!$B$50</f>
        <v>455.9602871610347</v>
      </c>
      <c r="K719">
        <f t="shared" si="104"/>
        <v>0</v>
      </c>
    </row>
    <row r="720" spans="1:11" ht="15">
      <c r="A720" s="562">
        <f t="shared" si="100"/>
        <v>21000</v>
      </c>
      <c r="B720" s="277">
        <f>A720*Conversions!B$35</f>
        <v>6400.801746138717</v>
      </c>
      <c r="C720" s="278">
        <f t="shared" si="101"/>
        <v>13.183700792401863</v>
      </c>
      <c r="D720" s="278">
        <f>C720*Conversions!$B$53</f>
        <v>334.86599836455474</v>
      </c>
      <c r="E720" s="279">
        <f>C720*Conversions!$B$59</f>
        <v>6.475250936796705</v>
      </c>
      <c r="F720" s="280">
        <f>H720*Conversions!$D$67</f>
        <v>0.45528557382907164</v>
      </c>
      <c r="G720" s="281">
        <f t="shared" si="102"/>
        <v>4.464512800564277</v>
      </c>
      <c r="H720" s="282">
        <f>C720*Conversions!$B$50</f>
        <v>446.4512800564277</v>
      </c>
      <c r="K720">
        <f t="shared" si="104"/>
        <v>0</v>
      </c>
    </row>
    <row r="721" spans="1:11" ht="15">
      <c r="A721" s="562">
        <f t="shared" si="100"/>
        <v>21500</v>
      </c>
      <c r="B721" s="277">
        <f>A721*Conversions!B$35</f>
        <v>6553.2017877134485</v>
      </c>
      <c r="C721" s="278">
        <f t="shared" si="101"/>
        <v>12.907660738487134</v>
      </c>
      <c r="D721" s="278">
        <f>C721*Conversions!$B$53</f>
        <v>327.8545810320228</v>
      </c>
      <c r="E721" s="279">
        <f>C721*Conversions!$B$59</f>
        <v>6.33967226690343</v>
      </c>
      <c r="F721" s="280">
        <f>H721*Conversions!$D$67</f>
        <v>0.4457528139215648</v>
      </c>
      <c r="G721" s="281">
        <f t="shared" si="102"/>
        <v>4.37103492408812</v>
      </c>
      <c r="H721" s="282">
        <f>C721*Conversions!$B$50</f>
        <v>437.103492408812</v>
      </c>
      <c r="K721">
        <f t="shared" si="104"/>
        <v>0</v>
      </c>
    </row>
    <row r="722" spans="1:11" ht="15">
      <c r="A722" s="562">
        <f t="shared" si="100"/>
        <v>22000</v>
      </c>
      <c r="B722" s="277">
        <f>A722*Conversions!B$35</f>
        <v>6705.60182928818</v>
      </c>
      <c r="C722" s="278">
        <f t="shared" si="101"/>
        <v>12.63631949494495</v>
      </c>
      <c r="D722" s="278">
        <f>C722*Conversions!$B$53</f>
        <v>320.96251348232533</v>
      </c>
      <c r="E722" s="279">
        <f>C722*Conversions!$B$59</f>
        <v>6.206401444916122</v>
      </c>
      <c r="F722" s="280">
        <f>H722*Conversions!$D$67</f>
        <v>0.43638232260695636</v>
      </c>
      <c r="G722" s="281">
        <f t="shared" si="102"/>
        <v>4.279148247183765</v>
      </c>
      <c r="H722" s="282">
        <f>C722*Conversions!$B$50</f>
        <v>427.9148247183765</v>
      </c>
      <c r="K722">
        <f t="shared" si="104"/>
        <v>0</v>
      </c>
    </row>
    <row r="723" spans="1:11" ht="15">
      <c r="A723" s="562">
        <f t="shared" si="100"/>
        <v>22500</v>
      </c>
      <c r="B723" s="277">
        <f>A723*Conversions!B$35</f>
        <v>6858.001870862911</v>
      </c>
      <c r="C723" s="278">
        <f t="shared" si="101"/>
        <v>12.369615625226057</v>
      </c>
      <c r="D723" s="278">
        <f>C723*Conversions!$B$53</f>
        <v>314.1882352271196</v>
      </c>
      <c r="E723" s="279">
        <f>C723*Conversions!$B$59</f>
        <v>6.07540829591809</v>
      </c>
      <c r="F723" s="280">
        <f>H723*Conversions!$D$67</f>
        <v>0.42717197823708253</v>
      </c>
      <c r="G723" s="281">
        <f t="shared" si="102"/>
        <v>4.188831965051039</v>
      </c>
      <c r="H723" s="282">
        <f>C723*Conversions!$B$50</f>
        <v>418.88319650510385</v>
      </c>
      <c r="K723">
        <f t="shared" si="104"/>
        <v>0</v>
      </c>
    </row>
    <row r="724" spans="1:11" ht="15">
      <c r="A724" s="562">
        <f t="shared" si="100"/>
        <v>23000</v>
      </c>
      <c r="B724" s="277">
        <f>A724*Conversions!B$35</f>
        <v>7010.401912437643</v>
      </c>
      <c r="C724" s="278">
        <f t="shared" si="101"/>
        <v>12.107488251591404</v>
      </c>
      <c r="D724" s="278">
        <f>C724*Conversions!$B$53</f>
        <v>307.5301999718417</v>
      </c>
      <c r="E724" s="279">
        <f>C724*Conversions!$B$59</f>
        <v>5.946662919455506</v>
      </c>
      <c r="F724" s="280">
        <f>H724*Conversions!$D$67</f>
        <v>0.4181196784617159</v>
      </c>
      <c r="G724" s="281">
        <f t="shared" si="102"/>
        <v>4.1000654621245864</v>
      </c>
      <c r="H724" s="282">
        <f>C724*Conversions!$B$50</f>
        <v>410.00654621245866</v>
      </c>
      <c r="K724">
        <f t="shared" si="104"/>
        <v>0</v>
      </c>
    </row>
    <row r="725" spans="1:11" ht="15">
      <c r="A725" s="562">
        <f t="shared" si="100"/>
        <v>23500</v>
      </c>
      <c r="B725" s="277">
        <f>A725*Conversions!B$35</f>
        <v>7162.801954012374</v>
      </c>
      <c r="C725" s="278">
        <f t="shared" si="101"/>
        <v>11.849877052271005</v>
      </c>
      <c r="D725" s="278">
        <f>C725*Conversions!$B$53</f>
        <v>300.9868755435421</v>
      </c>
      <c r="E725" s="279">
        <f>C725*Conversions!$B$59</f>
        <v>5.820135688141966</v>
      </c>
      <c r="F725" s="280">
        <f>H725*Conversions!$D$67</f>
        <v>0.40922334013045014</v>
      </c>
      <c r="G725" s="281">
        <f t="shared" si="102"/>
        <v>4.012828311111764</v>
      </c>
      <c r="H725" s="282">
        <f>C725*Conversions!$B$50</f>
        <v>401.28283111117634</v>
      </c>
      <c r="K725">
        <f t="shared" si="104"/>
        <v>0</v>
      </c>
    </row>
    <row r="726" spans="1:11" ht="15">
      <c r="A726" s="562">
        <f t="shared" si="100"/>
        <v>24000</v>
      </c>
      <c r="B726" s="277">
        <f>A726*Conversions!B$35</f>
        <v>7315.201995587106</v>
      </c>
      <c r="C726" s="278">
        <f t="shared" si="101"/>
        <v>11.59672225862577</v>
      </c>
      <c r="D726" s="278">
        <f>C726*Conversions!$B$53</f>
        <v>294.5567438187959</v>
      </c>
      <c r="E726" s="279">
        <f>C726*Conversions!$B$59</f>
        <v>5.6957972462645055</v>
      </c>
      <c r="F726" s="280">
        <f>H726*Conversions!$D$67</f>
        <v>0.40048089919468666</v>
      </c>
      <c r="G726" s="281">
        <f t="shared" si="102"/>
        <v>3.9271002720315122</v>
      </c>
      <c r="H726" s="282">
        <f>C726*Conversions!$B$50</f>
        <v>392.71002720315124</v>
      </c>
      <c r="K726">
        <f t="shared" si="104"/>
        <v>0</v>
      </c>
    </row>
    <row r="727" spans="1:11" ht="15">
      <c r="A727" s="562">
        <f t="shared" si="100"/>
        <v>24500</v>
      </c>
      <c r="B727" s="277">
        <f>A727*Conversions!B$35</f>
        <v>7467.602037161837</v>
      </c>
      <c r="C727" s="278">
        <f t="shared" si="101"/>
        <v>11.34796465231226</v>
      </c>
      <c r="D727" s="278">
        <f>C727*Conversions!$B$53</f>
        <v>288.2383006516877</v>
      </c>
      <c r="E727" s="279">
        <f>C727*Conversions!$B$59</f>
        <v>5.573618508391056</v>
      </c>
      <c r="F727" s="280">
        <f>H727*Conversions!$D$67</f>
        <v>0.3918903106097224</v>
      </c>
      <c r="G727" s="281">
        <f t="shared" si="102"/>
        <v>3.8428612912542452</v>
      </c>
      <c r="H727" s="282">
        <f>C727*Conversions!$B$50</f>
        <v>384.2861291254245</v>
      </c>
      <c r="K727">
        <f t="shared" si="104"/>
        <v>0</v>
      </c>
    </row>
    <row r="728" spans="1:11" ht="15">
      <c r="A728" s="562">
        <f t="shared" si="100"/>
        <v>25000</v>
      </c>
      <c r="B728" s="277">
        <f>A728*Conversions!B$35</f>
        <v>7620.002078736568</v>
      </c>
      <c r="C728" s="278">
        <f t="shared" si="101"/>
        <v>11.103545562450465</v>
      </c>
      <c r="D728" s="278">
        <f>C728*Conversions!$B$53</f>
        <v>282.0300558018731</v>
      </c>
      <c r="E728" s="279">
        <f>C728*Conversions!$B$59</f>
        <v>5.453570657979378</v>
      </c>
      <c r="F728" s="280">
        <f>H728*Conversions!$D$67</f>
        <v>0.38344954823694155</v>
      </c>
      <c r="G728" s="281">
        <f t="shared" si="102"/>
        <v>3.760091500542736</v>
      </c>
      <c r="H728" s="282">
        <f>C728*Conversions!$B$50</f>
        <v>376.0091500542736</v>
      </c>
      <c r="K728">
        <f t="shared" si="104"/>
        <v>0</v>
      </c>
    </row>
    <row r="729" spans="1:11" ht="15">
      <c r="A729" s="562">
        <f t="shared" si="100"/>
        <v>25500</v>
      </c>
      <c r="B729" s="277">
        <f>A729*Conversions!B$35</f>
        <v>7772.4021203113</v>
      </c>
      <c r="C729" s="278">
        <f t="shared" si="101"/>
        <v>10.86340686279457</v>
      </c>
      <c r="D729" s="278">
        <f>C729*Conversions!$B$53</f>
        <v>275.9305328627161</v>
      </c>
      <c r="E729" s="279">
        <f>C729*Conversions!$B$59</f>
        <v>5.335625145987468</v>
      </c>
      <c r="F729" s="280">
        <f>H729*Conversions!$D$67</f>
        <v>0.37515660474611134</v>
      </c>
      <c r="G729" s="281">
        <f t="shared" si="102"/>
        <v>3.6787712160940407</v>
      </c>
      <c r="H729" s="282">
        <f>C729*Conversions!$B$50</f>
        <v>367.87712160940407</v>
      </c>
      <c r="K729">
        <f t="shared" si="104"/>
        <v>0</v>
      </c>
    </row>
    <row r="730" spans="1:11" ht="15">
      <c r="A730" s="562">
        <f t="shared" si="100"/>
        <v>26000</v>
      </c>
      <c r="B730" s="277">
        <f>A730*Conversions!B$35</f>
        <v>7924.80216188603</v>
      </c>
      <c r="C730" s="278">
        <f t="shared" si="101"/>
        <v>10.627490968906644</v>
      </c>
      <c r="D730" s="278">
        <f>C730*Conversions!$B$53</f>
        <v>269.93826918950106</v>
      </c>
      <c r="E730" s="279">
        <f>C730*Conversions!$B$59</f>
        <v>5.219753689485404</v>
      </c>
      <c r="F730" s="280">
        <f>H730*Conversions!$D$67</f>
        <v>0.3670094915177783</v>
      </c>
      <c r="G730" s="281">
        <f t="shared" si="102"/>
        <v>3.598880937582394</v>
      </c>
      <c r="H730" s="282">
        <f>C730*Conversions!$B$50</f>
        <v>359.8880937582394</v>
      </c>
      <c r="K730">
        <f t="shared" si="104"/>
        <v>0</v>
      </c>
    </row>
    <row r="731" spans="1:11" ht="15">
      <c r="A731" s="562">
        <f t="shared" si="100"/>
        <v>26500</v>
      </c>
      <c r="B731" s="277">
        <f>A731*Conversions!B$35</f>
        <v>8077.202203460762</v>
      </c>
      <c r="C731" s="278">
        <f t="shared" si="101"/>
        <v>10.395740835333374</v>
      </c>
      <c r="D731" s="278">
        <f>C731*Conversions!$B$53</f>
        <v>264.0518158277213</v>
      </c>
      <c r="E731" s="279">
        <f>C731*Conversions!$B$59</f>
        <v>5.105928270268674</v>
      </c>
      <c r="F731" s="280">
        <f>H731*Conversions!$D$67</f>
        <v>0.3590062385457691</v>
      </c>
      <c r="G731" s="281">
        <f t="shared" si="102"/>
        <v>3.5204013472031397</v>
      </c>
      <c r="H731" s="282">
        <f>C731*Conversions!$B$50</f>
        <v>352.040134720314</v>
      </c>
      <c r="K731">
        <f t="shared" si="104"/>
        <v>0</v>
      </c>
    </row>
    <row r="732" spans="1:11" ht="15">
      <c r="A732" s="562">
        <f t="shared" si="100"/>
        <v>27000</v>
      </c>
      <c r="B732" s="277">
        <f>A732*Conversions!B$35</f>
        <v>8229.602245035494</v>
      </c>
      <c r="C732" s="278">
        <f t="shared" si="101"/>
        <v>10.168099952785859</v>
      </c>
      <c r="D732" s="278">
        <f>C732*Conversions!$B$53</f>
        <v>258.2697374414464</v>
      </c>
      <c r="E732" s="279">
        <f>C732*Conversions!$B$59</f>
        <v>4.994121133473022</v>
      </c>
      <c r="F732" s="280">
        <f>H732*Conversions!$D$67</f>
        <v>0.3511448943397982</v>
      </c>
      <c r="G732" s="281">
        <f t="shared" si="102"/>
        <v>3.443313308717705</v>
      </c>
      <c r="H732" s="282">
        <f>C732*Conversions!$B$50</f>
        <v>344.3313308717705</v>
      </c>
      <c r="K732">
        <f t="shared" si="104"/>
        <v>0</v>
      </c>
    </row>
    <row r="733" spans="1:11" ht="15">
      <c r="A733" s="562">
        <f t="shared" si="100"/>
        <v>27500</v>
      </c>
      <c r="B733" s="277">
        <f>A733*Conversions!B$35</f>
        <v>8382.002286610224</v>
      </c>
      <c r="C733" s="278">
        <f t="shared" si="101"/>
        <v>9.944512345322295</v>
      </c>
      <c r="D733" s="278">
        <f>C733*Conversions!$B$53</f>
        <v>252.59061224176202</v>
      </c>
      <c r="E733" s="279">
        <f>C733*Conversions!$B$59</f>
        <v>4.884304786190703</v>
      </c>
      <c r="F733" s="280">
        <f>H733*Conversions!$D$67</f>
        <v>0.34342352582817465</v>
      </c>
      <c r="G733" s="281">
        <f t="shared" si="102"/>
        <v>3.3675978664995445</v>
      </c>
      <c r="H733" s="282">
        <f>C733*Conversions!$B$50</f>
        <v>336.75978664995444</v>
      </c>
      <c r="K733">
        <f t="shared" si="104"/>
        <v>0</v>
      </c>
    </row>
    <row r="734" spans="1:11" ht="15">
      <c r="A734" s="562">
        <f t="shared" si="100"/>
        <v>28000</v>
      </c>
      <c r="B734" s="277">
        <f>A734*Conversions!B$35</f>
        <v>8534.402328184957</v>
      </c>
      <c r="C734" s="278">
        <f t="shared" si="101"/>
        <v>9.724922567533818</v>
      </c>
      <c r="D734" s="278">
        <f>C734*Conversions!$B$53</f>
        <v>247.0130319152904</v>
      </c>
      <c r="E734" s="279">
        <f>C734*Conversions!$B$59</f>
        <v>4.7764519960883</v>
      </c>
      <c r="F734" s="280">
        <f>H734*Conversions!$D$67</f>
        <v>0.335840218260618</v>
      </c>
      <c r="G734" s="281">
        <f t="shared" si="102"/>
        <v>3.2932362445811583</v>
      </c>
      <c r="H734" s="282">
        <f>C734*Conversions!$B$50</f>
        <v>329.32362445811583</v>
      </c>
      <c r="K734">
        <f t="shared" si="104"/>
        <v>0</v>
      </c>
    </row>
    <row r="735" spans="1:11" ht="15">
      <c r="A735" s="562">
        <f t="shared" si="100"/>
        <v>28500</v>
      </c>
      <c r="B735" s="277">
        <f>A735*Conversions!B$35</f>
        <v>8686.802369759687</v>
      </c>
      <c r="C735" s="278">
        <f t="shared" si="101"/>
        <v>9.509275701733321</v>
      </c>
      <c r="D735" s="278">
        <f>C735*Conversions!$B$53</f>
        <v>241.53560155278635</v>
      </c>
      <c r="E735" s="279">
        <f>C735*Conversions!$B$59</f>
        <v>4.670535790025984</v>
      </c>
      <c r="F735" s="280">
        <f>H735*Conversions!$D$67</f>
        <v>0.3283930751111766</v>
      </c>
      <c r="G735" s="281">
        <f t="shared" si="102"/>
        <v>3.2202098457021155</v>
      </c>
      <c r="H735" s="282">
        <f>C735*Conversions!$B$50</f>
        <v>322.02098457021157</v>
      </c>
      <c r="K735">
        <f t="shared" si="104"/>
        <v>0</v>
      </c>
    </row>
    <row r="736" spans="1:11" ht="15">
      <c r="A736" s="562">
        <f t="shared" si="100"/>
        <v>29000</v>
      </c>
      <c r="B736" s="277">
        <f>A736*Conversions!B$35</f>
        <v>8839.20241133442</v>
      </c>
      <c r="C736" s="278">
        <f t="shared" si="101"/>
        <v>9.29751735514735</v>
      </c>
      <c r="D736" s="278">
        <f>C736*Conversions!$B$53</f>
        <v>236.15693957781147</v>
      </c>
      <c r="E736" s="279">
        <f>C736*Conversions!$B$59</f>
        <v>4.566529452678312</v>
      </c>
      <c r="F736" s="280">
        <f>H736*Conversions!$D$67</f>
        <v>0.32108021798125347</v>
      </c>
      <c r="G736" s="281">
        <f t="shared" si="102"/>
        <v>3.1485002503581243</v>
      </c>
      <c r="H736" s="282">
        <f>C736*Conversions!$B$50</f>
        <v>314.85002503581245</v>
      </c>
      <c r="K736">
        <f t="shared" si="104"/>
        <v>0</v>
      </c>
    </row>
    <row r="737" spans="1:11" ht="15">
      <c r="A737" s="562">
        <f t="shared" si="100"/>
        <v>29500</v>
      </c>
      <c r="B737" s="277">
        <f>A737*Conversions!B$35</f>
        <v>8991.60245290915</v>
      </c>
      <c r="C737" s="278">
        <f t="shared" si="101"/>
        <v>9.089593657110957</v>
      </c>
      <c r="D737" s="278">
        <f>C737*Conversions!$B$53</f>
        <v>230.87567767548316</v>
      </c>
      <c r="E737" s="279">
        <f>C737*Conversions!$B$59</f>
        <v>4.4644065251564475</v>
      </c>
      <c r="F737" s="280">
        <f>H737*Conversions!$D$67</f>
        <v>0.3138997865027326</v>
      </c>
      <c r="G737" s="281">
        <f t="shared" si="102"/>
        <v>3.078089215851096</v>
      </c>
      <c r="H737" s="282">
        <f>C737*Conversions!$B$50</f>
        <v>307.8089215851096</v>
      </c>
      <c r="K737">
        <f t="shared" si="104"/>
        <v>0</v>
      </c>
    </row>
    <row r="738" spans="1:11" ht="15">
      <c r="A738" s="562">
        <f t="shared" si="100"/>
        <v>30000</v>
      </c>
      <c r="B738" s="277">
        <f>A738*Conversions!B$35</f>
        <v>9144.002494483882</v>
      </c>
      <c r="C738" s="278">
        <f t="shared" si="101"/>
        <v>8.885451256265807</v>
      </c>
      <c r="D738" s="278">
        <f>C738*Conversions!$B$53</f>
        <v>225.69046072130698</v>
      </c>
      <c r="E738" s="279">
        <f>C738*Conversions!$B$59</f>
        <v>4.364140803632009</v>
      </c>
      <c r="F738" s="280">
        <f>H738*Conversions!$D$67</f>
        <v>0.3068499382412191</v>
      </c>
      <c r="G738" s="281">
        <f t="shared" si="102"/>
        <v>3.0089586753403195</v>
      </c>
      <c r="H738" s="282">
        <f>C738*Conversions!$B$50</f>
        <v>300.89586753403194</v>
      </c>
      <c r="K738">
        <f t="shared" si="104"/>
        <v>0</v>
      </c>
    </row>
    <row r="739" spans="1:11" ht="15">
      <c r="A739" s="562">
        <f t="shared" si="100"/>
        <v>30500</v>
      </c>
      <c r="B739" s="277">
        <f>A739*Conversions!B$35</f>
        <v>9296.402536058613</v>
      </c>
      <c r="C739" s="278">
        <f t="shared" si="101"/>
        <v>8.685037317761187</v>
      </c>
      <c r="D739" s="278">
        <f>C739*Conversions!$B$53</f>
        <v>220.59994671008184</v>
      </c>
      <c r="E739" s="279">
        <f>C739*Conversions!$B$59</f>
        <v>4.265706337962318</v>
      </c>
      <c r="F739" s="280">
        <f>H739*Conversions!$D$67</f>
        <v>0.2999288485993784</v>
      </c>
      <c r="G739" s="281">
        <f t="shared" si="102"/>
        <v>2.9410907368946106</v>
      </c>
      <c r="H739" s="282">
        <f>C739*Conversions!$B$50</f>
        <v>294.10907368946107</v>
      </c>
      <c r="K739">
        <f t="shared" si="104"/>
        <v>0</v>
      </c>
    </row>
    <row r="740" spans="1:11" ht="15">
      <c r="A740" s="562">
        <f t="shared" si="100"/>
        <v>31000</v>
      </c>
      <c r="B740" s="277">
        <f>A740*Conversions!B$35</f>
        <v>9448.802577633345</v>
      </c>
      <c r="C740" s="278">
        <f t="shared" si="101"/>
        <v>8.48829952045821</v>
      </c>
      <c r="D740" s="278">
        <f>C740*Conversions!$B$53</f>
        <v>215.60280668488693</v>
      </c>
      <c r="E740" s="279">
        <f>C740*Conversions!$B$59</f>
        <v>4.169077430317234</v>
      </c>
      <c r="F740" s="280">
        <f>H740*Conversions!$D$67</f>
        <v>0.2931347107203865</v>
      </c>
      <c r="G740" s="281">
        <f t="shared" si="102"/>
        <v>2.8744676825455486</v>
      </c>
      <c r="H740" s="282">
        <f>C740*Conversions!$B$50</f>
        <v>287.44676825455485</v>
      </c>
      <c r="K740">
        <f t="shared" si="104"/>
        <v>0</v>
      </c>
    </row>
    <row r="741" spans="1:11" ht="15">
      <c r="A741" s="562">
        <f t="shared" si="100"/>
        <v>31500</v>
      </c>
      <c r="B741" s="277">
        <f>A741*Conversions!B$35</f>
        <v>9601.202619208076</v>
      </c>
      <c r="C741" s="278">
        <f t="shared" si="101"/>
        <v>8.29518605413702</v>
      </c>
      <c r="D741" s="278">
        <f>C741*Conversions!$B$53</f>
        <v>210.69772466614492</v>
      </c>
      <c r="E741" s="279">
        <f>C741*Conversions!$B$59</f>
        <v>4.074228633807454</v>
      </c>
      <c r="F741" s="280">
        <f>H741*Conversions!$D$67</f>
        <v>0.2864657353914837</v>
      </c>
      <c r="G741" s="281">
        <f t="shared" si="102"/>
        <v>2.8090719673417284</v>
      </c>
      <c r="H741" s="282">
        <f>C741*Conversions!$B$50</f>
        <v>280.9071967341728</v>
      </c>
      <c r="K741">
        <f t="shared" si="104"/>
        <v>0</v>
      </c>
    </row>
    <row r="742" spans="1:11" ht="15">
      <c r="A742" s="562">
        <f t="shared" si="100"/>
        <v>32000</v>
      </c>
      <c r="B742" s="277">
        <f>A742*Conversions!B$35</f>
        <v>9753.602660782806</v>
      </c>
      <c r="C742" s="278">
        <f t="shared" si="101"/>
        <v>8.105645616707225</v>
      </c>
      <c r="D742" s="278">
        <f>C742*Conversions!$B$53</f>
        <v>205.88339758076668</v>
      </c>
      <c r="E742" s="279">
        <f>C742*Conversions!$B$59</f>
        <v>3.981134751114404</v>
      </c>
      <c r="F742" s="280">
        <f>H742*Conversions!$D$67</f>
        <v>0.27992015094763983</v>
      </c>
      <c r="G742" s="281">
        <f t="shared" si="102"/>
        <v>2.7448862184041034</v>
      </c>
      <c r="H742" s="282">
        <f>C742*Conversions!$B$50</f>
        <v>274.48862184041036</v>
      </c>
      <c r="K742">
        <f t="shared" si="104"/>
        <v>0</v>
      </c>
    </row>
    <row r="743" spans="1:11" ht="15">
      <c r="A743" s="562">
        <f t="shared" si="100"/>
        <v>32500</v>
      </c>
      <c r="B743" s="277">
        <f>A743*Conversions!B$35</f>
        <v>9906.002702357539</v>
      </c>
      <c r="C743" s="278">
        <f t="shared" si="101"/>
        <v>7.919627411421343</v>
      </c>
      <c r="D743" s="278">
        <f>C743*Conversions!$B$53</f>
        <v>201.158535191373</v>
      </c>
      <c r="E743" s="279">
        <f>C743*Conversions!$B$59</f>
        <v>3.889770833121602</v>
      </c>
      <c r="F743" s="280">
        <f>H743*Conversions!$D$67</f>
        <v>0.27349620317532336</v>
      </c>
      <c r="G743" s="281">
        <f t="shared" si="102"/>
        <v>2.681893233982351</v>
      </c>
      <c r="H743" s="282">
        <f>C743*Conversions!$B$50</f>
        <v>268.1893233982351</v>
      </c>
      <c r="K743">
        <f t="shared" si="104"/>
        <v>0</v>
      </c>
    </row>
    <row r="744" spans="1:11" ht="15">
      <c r="A744" s="562">
        <f aca="true" t="shared" si="105" ref="A744:A807">A743+500</f>
        <v>33000</v>
      </c>
      <c r="B744" s="277">
        <f>A744*Conversions!B$35</f>
        <v>10058.402743932269</v>
      </c>
      <c r="C744" s="278">
        <f aca="true" t="shared" si="106" ref="C744:C750">C$18*((D$18/(D$18+(E$18*(A744-B$18))))^((G$18*H$18)/(F$18*E$18)))</f>
        <v>7.737081144091431</v>
      </c>
      <c r="D744" s="278">
        <f>C744*Conversions!$B$53</f>
        <v>196.5218600255968</v>
      </c>
      <c r="E744" s="279">
        <f>C744*Conversions!$B$59</f>
        <v>3.800112177547592</v>
      </c>
      <c r="F744" s="280">
        <f>H744*Conversions!$D$67</f>
        <v>0.2671921552163805</v>
      </c>
      <c r="G744" s="281">
        <f aca="true" t="shared" si="107" ref="G744:G807">H744/100</f>
        <v>2.620075982512315</v>
      </c>
      <c r="H744" s="282">
        <f>C744*Conversions!$B$50</f>
        <v>262.0075982512315</v>
      </c>
      <c r="K744">
        <f aca="true" t="shared" si="108" ref="K744:K797">K743</f>
        <v>0</v>
      </c>
    </row>
    <row r="745" spans="1:11" ht="15">
      <c r="A745" s="562">
        <f t="shared" si="105"/>
        <v>33500</v>
      </c>
      <c r="B745" s="277">
        <f>A745*Conversions!B$35</f>
        <v>10210.802785507001</v>
      </c>
      <c r="C745" s="278">
        <f t="shared" si="106"/>
        <v>7.557957020308807</v>
      </c>
      <c r="D745" s="278">
        <f>C745*Conversions!$B$53</f>
        <v>191.9721073054642</v>
      </c>
      <c r="E745" s="279">
        <f>C745*Conversions!$B$59</f>
        <v>3.712134327580397</v>
      </c>
      <c r="F745" s="280">
        <f>H745*Conversions!$D$67</f>
        <v>0.2610062874720213</v>
      </c>
      <c r="G745" s="281">
        <f t="shared" si="107"/>
        <v>2.559417601674495</v>
      </c>
      <c r="H745" s="282">
        <f>C745*Conversions!$B$50</f>
        <v>255.94176016744947</v>
      </c>
      <c r="K745">
        <f t="shared" si="108"/>
        <v>0</v>
      </c>
    </row>
    <row r="746" spans="1:11" ht="15">
      <c r="A746" s="562">
        <f t="shared" si="105"/>
        <v>34000</v>
      </c>
      <c r="B746" s="277">
        <f>A746*Conversions!B$35</f>
        <v>10363.202827081732</v>
      </c>
      <c r="C746" s="278">
        <f t="shared" si="106"/>
        <v>7.382205742667003</v>
      </c>
      <c r="D746" s="278">
        <f>C746*Conversions!$B$53</f>
        <v>187.50802487685755</v>
      </c>
      <c r="E746" s="279">
        <f>C746*Conversions!$B$59</f>
        <v>3.6258130705135505</v>
      </c>
      <c r="F746" s="280">
        <f>H746*Conversions!$D$67</f>
        <v>0.25493689750691706</v>
      </c>
      <c r="G746" s="281">
        <f t="shared" si="107"/>
        <v>2.4999013974536304</v>
      </c>
      <c r="H746" s="282">
        <f>C746*Conversions!$B$50</f>
        <v>249.99013974536305</v>
      </c>
      <c r="K746">
        <f t="shared" si="108"/>
        <v>0</v>
      </c>
    </row>
    <row r="747" spans="1:11" ht="15">
      <c r="A747" s="562">
        <f t="shared" si="105"/>
        <v>34500</v>
      </c>
      <c r="B747" s="277">
        <f>A747*Conversions!B$35</f>
        <v>10515.602868656464</v>
      </c>
      <c r="C747" s="278">
        <f t="shared" si="106"/>
        <v>7.2097785079877434</v>
      </c>
      <c r="D747" s="278">
        <f>C747*Conversions!$B$53</f>
        <v>183.12837313905516</v>
      </c>
      <c r="E747" s="279">
        <f>C747*Conversions!$B$59</f>
        <v>3.5411244363836243</v>
      </c>
      <c r="F747" s="280">
        <f>H747*Conversions!$D$67</f>
        <v>0.24898229995340226</v>
      </c>
      <c r="G747" s="281">
        <f t="shared" si="107"/>
        <v>2.441510843199311</v>
      </c>
      <c r="H747" s="282">
        <f>C747*Conversions!$B$50</f>
        <v>244.1510843199311</v>
      </c>
      <c r="K747">
        <f t="shared" si="108"/>
        <v>0</v>
      </c>
    </row>
    <row r="748" spans="1:11" ht="15">
      <c r="A748" s="562">
        <f t="shared" si="105"/>
        <v>35000</v>
      </c>
      <c r="B748" s="277">
        <f>A748*Conversions!B$35</f>
        <v>10668.002910231195</v>
      </c>
      <c r="C748" s="278">
        <f t="shared" si="106"/>
        <v>7.040627004550249</v>
      </c>
      <c r="D748" s="278">
        <f>C748*Conversions!$B$53</f>
        <v>178.83192497435567</v>
      </c>
      <c r="E748" s="279">
        <f>C748*Conversions!$B$59</f>
        <v>3.4580446966093827</v>
      </c>
      <c r="F748" s="280">
        <f>H748*Conversions!$D$67</f>
        <v>0.2431408264157918</v>
      </c>
      <c r="G748" s="281">
        <f t="shared" si="107"/>
        <v>2.3842295786877092</v>
      </c>
      <c r="H748" s="282">
        <f>C748*Conversions!$B$50</f>
        <v>238.4229578687709</v>
      </c>
      <c r="K748">
        <f t="shared" si="108"/>
        <v>0</v>
      </c>
    </row>
    <row r="749" spans="1:11" ht="15">
      <c r="A749" s="562">
        <f t="shared" si="105"/>
        <v>35500</v>
      </c>
      <c r="B749" s="277">
        <f>A749*Conversions!B$35</f>
        <v>10820.402951805927</v>
      </c>
      <c r="C749" s="278">
        <f t="shared" si="106"/>
        <v>6.874703409323556</v>
      </c>
      <c r="D749" s="278">
        <f>C749*Conversions!$B$53</f>
        <v>174.61746567777902</v>
      </c>
      <c r="E749" s="279">
        <f>C749*Conversions!$B$59</f>
        <v>3.376550362632422</v>
      </c>
      <c r="F749" s="280">
        <f>H749*Conversions!$D$67</f>
        <v>0.23741082537480146</v>
      </c>
      <c r="G749" s="281">
        <f t="shared" si="107"/>
        <v>2.328041409184337</v>
      </c>
      <c r="H749" s="282">
        <f>C749*Conversions!$B$50</f>
        <v>232.8041409184337</v>
      </c>
      <c r="K749">
        <f>K748</f>
        <v>0</v>
      </c>
    </row>
    <row r="750" spans="1:11" ht="15">
      <c r="A750" s="566">
        <f t="shared" si="105"/>
        <v>36000</v>
      </c>
      <c r="B750" s="567">
        <f>A750*Conversions!B$35</f>
        <v>10972.802993380657</v>
      </c>
      <c r="C750" s="568">
        <f t="shared" si="106"/>
        <v>6.711960385202199</v>
      </c>
      <c r="D750" s="646">
        <f>C750*Conversions!$B$53</f>
        <v>170.48379288685277</v>
      </c>
      <c r="E750" s="647">
        <f>C750*Conversions!$B$59</f>
        <v>3.2966181845594575</v>
      </c>
      <c r="F750" s="648">
        <f>H750*Conversions!$D$67</f>
        <v>0.23179066209208551</v>
      </c>
      <c r="G750" s="649">
        <f t="shared" si="107"/>
        <v>2.2729303045079416</v>
      </c>
      <c r="H750" s="650">
        <f>C750*Conversions!$B$50</f>
        <v>227.29303045079416</v>
      </c>
      <c r="I750" s="578"/>
      <c r="J750" s="651"/>
      <c r="K750" s="652">
        <f>K749</f>
        <v>0</v>
      </c>
    </row>
    <row r="751" spans="1:12" ht="15">
      <c r="A751" s="572">
        <f t="shared" si="105"/>
        <v>36500</v>
      </c>
      <c r="B751" s="343">
        <f>A751*Conversions!B$35</f>
        <v>11125.20303495539</v>
      </c>
      <c r="C751" s="573">
        <f aca="true" t="shared" si="109" ref="C751:C786">C$19*EXP((-G$18*H$18*(A751-B$19))/(F$18*D$19))</f>
        <v>6.552582133750748</v>
      </c>
      <c r="D751" s="573">
        <f>C751*Conversions!$B$53</f>
        <v>166.43558532129225</v>
      </c>
      <c r="E751" s="380">
        <f>C751*Conversions!$B$59</f>
        <v>3.2183386340548825</v>
      </c>
      <c r="F751" s="655">
        <f>H751*Conversions!$D$67</f>
        <v>0.22628669777959384</v>
      </c>
      <c r="G751" s="656">
        <f t="shared" si="107"/>
        <v>2.2189586424578867</v>
      </c>
      <c r="H751" s="574">
        <f>C751*Conversions!$B$50</f>
        <v>221.89586424578866</v>
      </c>
      <c r="K751" s="657">
        <f>K750+1</f>
        <v>1</v>
      </c>
      <c r="L751" s="420" t="s">
        <v>331</v>
      </c>
    </row>
    <row r="752" spans="1:11" ht="15">
      <c r="A752" s="562">
        <f t="shared" si="105"/>
        <v>37000</v>
      </c>
      <c r="B752" s="277">
        <f>A752*Conversions!B$35</f>
        <v>11277.60307653012</v>
      </c>
      <c r="C752" s="573">
        <f t="shared" si="109"/>
        <v>6.396989414377336</v>
      </c>
      <c r="D752" s="278">
        <f>C752*Conversions!$B$53</f>
        <v>162.48353027000786</v>
      </c>
      <c r="E752" s="279">
        <f>C752*Conversions!$B$59</f>
        <v>3.1419183695368886</v>
      </c>
      <c r="F752" s="280">
        <f>H752*Conversions!$D$67</f>
        <v>0.22091346293157785</v>
      </c>
      <c r="G752" s="281">
        <f t="shared" si="107"/>
        <v>2.1662689085011246</v>
      </c>
      <c r="H752" s="282">
        <f>C752*Conversions!$B$50</f>
        <v>216.62689085011246</v>
      </c>
      <c r="J752" s="517">
        <v>0</v>
      </c>
      <c r="K752">
        <f t="shared" si="108"/>
        <v>1</v>
      </c>
    </row>
    <row r="753" spans="1:11" ht="15">
      <c r="A753" s="562">
        <f t="shared" si="105"/>
        <v>37500</v>
      </c>
      <c r="B753" s="277">
        <f>A753*Conversions!B$35</f>
        <v>11430.003118104853</v>
      </c>
      <c r="C753" s="573">
        <f t="shared" si="109"/>
        <v>6.245091283462009</v>
      </c>
      <c r="D753" s="278">
        <f>C753*Conversions!$B$53</f>
        <v>158.62531776506495</v>
      </c>
      <c r="E753" s="279">
        <f>C753*Conversions!$B$59</f>
        <v>3.0673127235202555</v>
      </c>
      <c r="F753" s="280">
        <f>H753*Conversions!$D$67</f>
        <v>0.21566781690347586</v>
      </c>
      <c r="G753" s="281">
        <f t="shared" si="107"/>
        <v>2.1148303055980535</v>
      </c>
      <c r="H753" s="282">
        <f>C753*Conversions!$B$50</f>
        <v>211.48303055980534</v>
      </c>
      <c r="I753" s="79" t="str">
        <f>CONCATENATE("L",M137,"/F",N137)</f>
        <v>L1/F2</v>
      </c>
      <c r="J753" s="642">
        <v>36089</v>
      </c>
      <c r="K753">
        <f t="shared" si="108"/>
        <v>1</v>
      </c>
    </row>
    <row r="754" spans="1:11" ht="15">
      <c r="A754" s="562">
        <f t="shared" si="105"/>
        <v>38000</v>
      </c>
      <c r="B754" s="277">
        <f>A754*Conversions!B$35</f>
        <v>11582.403159679583</v>
      </c>
      <c r="C754" s="573">
        <f t="shared" si="109"/>
        <v>6.0968000120677734</v>
      </c>
      <c r="D754" s="278">
        <f>C754*Conversions!$B$53</f>
        <v>154.85871949147557</v>
      </c>
      <c r="E754" s="279">
        <f>C754*Conversions!$B$59</f>
        <v>2.994478607429901</v>
      </c>
      <c r="F754" s="280">
        <f>H754*Conversions!$D$67</f>
        <v>0.2105467300665023</v>
      </c>
      <c r="G754" s="281">
        <f t="shared" si="107"/>
        <v>2.064613125325495</v>
      </c>
      <c r="H754" s="282">
        <f>C754*Conversions!$B$50</f>
        <v>206.4613125325495</v>
      </c>
      <c r="J754" s="642">
        <v>65617</v>
      </c>
      <c r="K754">
        <f t="shared" si="108"/>
        <v>1</v>
      </c>
    </row>
    <row r="755" spans="1:11" ht="15">
      <c r="A755" s="562">
        <f t="shared" si="105"/>
        <v>38500</v>
      </c>
      <c r="B755" s="277">
        <f>A755*Conversions!B$35</f>
        <v>11734.803201254315</v>
      </c>
      <c r="C755" s="573">
        <f t="shared" si="109"/>
        <v>5.952029954403423</v>
      </c>
      <c r="D755" s="278">
        <f>C755*Conversions!$B$53</f>
        <v>151.18156004615454</v>
      </c>
      <c r="E755" s="279">
        <f>C755*Conversions!$B$59</f>
        <v>2.9233739558398515</v>
      </c>
      <c r="F755" s="280">
        <f>H755*Conversions!$D$67</f>
        <v>0.20554724473117303</v>
      </c>
      <c r="G755" s="281">
        <f t="shared" si="107"/>
        <v>2.0155883646942905</v>
      </c>
      <c r="H755" s="282">
        <f>C755*Conversions!$B$50</f>
        <v>201.55883646942905</v>
      </c>
      <c r="J755" s="517">
        <v>104987</v>
      </c>
      <c r="K755">
        <f t="shared" si="108"/>
        <v>1</v>
      </c>
    </row>
    <row r="756" spans="1:11" ht="15">
      <c r="A756" s="562">
        <f t="shared" si="105"/>
        <v>39000</v>
      </c>
      <c r="B756" s="277">
        <f>A756*Conversions!B$35</f>
        <v>11887.203242829046</v>
      </c>
      <c r="C756" s="573">
        <f t="shared" si="109"/>
        <v>5.810697498358721</v>
      </c>
      <c r="D756" s="278">
        <f>C756*Conversions!$B$53</f>
        <v>147.59171568151302</v>
      </c>
      <c r="E756" s="279">
        <f>C756*Conversions!$B$59</f>
        <v>2.853957702178309</v>
      </c>
      <c r="F756" s="280">
        <f>H756*Conversions!$D$67</f>
        <v>0.20066647343908872</v>
      </c>
      <c r="G756" s="281">
        <f t="shared" si="107"/>
        <v>1.967727709398593</v>
      </c>
      <c r="H756" s="282">
        <f>C756*Conversions!$B$50</f>
        <v>196.7727709398593</v>
      </c>
      <c r="J756" s="517">
        <v>154199</v>
      </c>
      <c r="K756">
        <f t="shared" si="108"/>
        <v>1</v>
      </c>
    </row>
    <row r="757" spans="1:11" ht="15">
      <c r="A757" s="562">
        <f t="shared" si="105"/>
        <v>39500</v>
      </c>
      <c r="B757" s="277">
        <f>A757*Conversions!B$35</f>
        <v>12039.603284403778</v>
      </c>
      <c r="C757" s="573">
        <f t="shared" si="109"/>
        <v>5.672721017214117</v>
      </c>
      <c r="D757" s="278">
        <f>C757*Conversions!$B$53</f>
        <v>144.08711307888535</v>
      </c>
      <c r="E757" s="279">
        <f>C757*Conversions!$B$59</f>
        <v>2.786189755009604</v>
      </c>
      <c r="F757" s="280">
        <f>H757*Conversions!$D$67</f>
        <v>0.1959015972952793</v>
      </c>
      <c r="G757" s="281">
        <f t="shared" si="107"/>
        <v>1.9210035174629025</v>
      </c>
      <c r="H757" s="282">
        <f>C757*Conversions!$B$50</f>
        <v>192.10035174629024</v>
      </c>
      <c r="J757" s="517">
        <v>167323</v>
      </c>
      <c r="K757">
        <f t="shared" si="108"/>
        <v>1</v>
      </c>
    </row>
    <row r="758" spans="1:11" ht="15">
      <c r="A758" s="562">
        <f t="shared" si="105"/>
        <v>40000</v>
      </c>
      <c r="B758" s="277">
        <f>A758*Conversions!B$35</f>
        <v>12192.003325978509</v>
      </c>
      <c r="C758" s="573">
        <f t="shared" si="109"/>
        <v>5.538020822497164</v>
      </c>
      <c r="D758" s="278">
        <f>C758*Conversions!$B$53</f>
        <v>140.66572815108205</v>
      </c>
      <c r="E758" s="279">
        <f>C758*Conversions!$B$59</f>
        <v>2.720030974879344</v>
      </c>
      <c r="F758" s="280">
        <f>H758*Conversions!$D$67</f>
        <v>0.19124986434014882</v>
      </c>
      <c r="G758" s="281">
        <f t="shared" si="107"/>
        <v>1.8753888032774193</v>
      </c>
      <c r="H758" s="282">
        <f>C758*Conversions!$B$50</f>
        <v>187.53888032774194</v>
      </c>
      <c r="J758" s="506">
        <v>232940</v>
      </c>
      <c r="K758">
        <f t="shared" si="108"/>
        <v>1</v>
      </c>
    </row>
    <row r="759" spans="1:11" ht="15">
      <c r="A759" s="562">
        <f t="shared" si="105"/>
        <v>40500</v>
      </c>
      <c r="B759" s="277">
        <f>A759*Conversions!B$35</f>
        <v>12344.403367553241</v>
      </c>
      <c r="C759" s="573">
        <f t="shared" si="109"/>
        <v>5.406519117958333</v>
      </c>
      <c r="D759" s="278">
        <f>C759*Conversions!$B$53</f>
        <v>137.32558487337545</v>
      </c>
      <c r="E759" s="279">
        <f>C759*Conversions!$B$59</f>
        <v>2.6554431517093753</v>
      </c>
      <c r="F759" s="280">
        <f>H759*Conversions!$D$67</f>
        <v>0.18670858796007744</v>
      </c>
      <c r="G759" s="281">
        <f t="shared" si="107"/>
        <v>1.830857222012469</v>
      </c>
      <c r="H759" s="282">
        <f>C759*Conversions!$B$50</f>
        <v>183.0857222012469</v>
      </c>
      <c r="J759" s="535">
        <v>280001</v>
      </c>
      <c r="K759">
        <f t="shared" si="108"/>
        <v>1</v>
      </c>
    </row>
    <row r="760" spans="1:11" ht="15">
      <c r="A760" s="562">
        <f t="shared" si="105"/>
        <v>41000</v>
      </c>
      <c r="B760" s="277">
        <f>A760*Conversions!B$35</f>
        <v>12496.803409127971</v>
      </c>
      <c r="C760" s="573">
        <f t="shared" si="109"/>
        <v>5.27813995463971</v>
      </c>
      <c r="D760" s="278">
        <f>C760*Conversions!$B$53</f>
        <v>134.06475414224468</v>
      </c>
      <c r="E760" s="279">
        <f>C760*Conversions!$B$59</f>
        <v>2.59238898272951</v>
      </c>
      <c r="F760" s="280">
        <f>H760*Conversions!$D$67</f>
        <v>0.18227514533576505</v>
      </c>
      <c r="G760" s="281">
        <f t="shared" si="107"/>
        <v>1.7873830544030185</v>
      </c>
      <c r="H760" s="282">
        <f>C760*Conversions!$B$50</f>
        <v>178.73830544030184</v>
      </c>
      <c r="K760">
        <f t="shared" si="108"/>
        <v>1</v>
      </c>
    </row>
    <row r="761" spans="1:11" ht="15">
      <c r="A761" s="562">
        <f t="shared" si="105"/>
        <v>41500</v>
      </c>
      <c r="B761" s="277">
        <f>A761*Conversions!B$35</f>
        <v>12649.203450702702</v>
      </c>
      <c r="C761" s="573">
        <f t="shared" si="109"/>
        <v>5.152809187010587</v>
      </c>
      <c r="D761" s="278">
        <f>C761*Conversions!$B$53</f>
        <v>130.8813526612197</v>
      </c>
      <c r="E761" s="279">
        <f>C761*Conversions!$B$59</f>
        <v>2.530832050933269</v>
      </c>
      <c r="F761" s="280">
        <f>H761*Conversions!$D$67</f>
        <v>0.17794697592741887</v>
      </c>
      <c r="G761" s="281">
        <f t="shared" si="107"/>
        <v>1.744941191894485</v>
      </c>
      <c r="H761" s="282">
        <f>C761*Conversions!$B$50</f>
        <v>174.4941191894485</v>
      </c>
      <c r="K761">
        <f t="shared" si="108"/>
        <v>1</v>
      </c>
    </row>
    <row r="762" spans="1:11" ht="15">
      <c r="A762" s="562">
        <f t="shared" si="105"/>
        <v>42000</v>
      </c>
      <c r="B762" s="277">
        <f>A762*Conversions!B$35</f>
        <v>12801.603492277434</v>
      </c>
      <c r="C762" s="573">
        <f t="shared" si="109"/>
        <v>5.030454430144631</v>
      </c>
      <c r="D762" s="278">
        <f>C762*Conversions!$B$53</f>
        <v>127.7735418531813</v>
      </c>
      <c r="E762" s="279">
        <f>C762*Conversions!$B$59</f>
        <v>2.4707368040452002</v>
      </c>
      <c r="F762" s="280">
        <f>H762*Conversions!$D$67</f>
        <v>0.17372157999591087</v>
      </c>
      <c r="G762" s="281">
        <f t="shared" si="107"/>
        <v>1.7035071221412625</v>
      </c>
      <c r="H762" s="282">
        <f>C762*Conversions!$B$50</f>
        <v>170.35071221412625</v>
      </c>
      <c r="K762">
        <f t="shared" si="108"/>
        <v>1</v>
      </c>
    </row>
    <row r="763" spans="1:11" ht="15">
      <c r="A763" s="562">
        <f t="shared" si="105"/>
        <v>42500</v>
      </c>
      <c r="B763" s="277">
        <f>A763*Conversions!B$35</f>
        <v>12954.003533852165</v>
      </c>
      <c r="C763" s="573">
        <f t="shared" si="109"/>
        <v>4.911005017913882</v>
      </c>
      <c r="D763" s="278">
        <f>C763*Conversions!$B$53</f>
        <v>124.7395267984888</v>
      </c>
      <c r="E763" s="279">
        <f>C763*Conversions!$B$59</f>
        <v>2.41206853398762</v>
      </c>
      <c r="F763" s="280">
        <f>H763*Conversions!$D$67</f>
        <v>0.16959651715905066</v>
      </c>
      <c r="G763" s="281">
        <f t="shared" si="107"/>
        <v>1.663056914849589</v>
      </c>
      <c r="H763" s="282">
        <f>C763*Conversions!$B$50</f>
        <v>166.3056914849589</v>
      </c>
      <c r="K763">
        <f t="shared" si="108"/>
        <v>1</v>
      </c>
    </row>
    <row r="764" spans="1:11" ht="15">
      <c r="A764" s="562">
        <f t="shared" si="105"/>
        <v>43000</v>
      </c>
      <c r="B764" s="277">
        <f>A764*Conversions!B$35</f>
        <v>13106.403575426897</v>
      </c>
      <c r="C764" s="573">
        <f t="shared" si="109"/>
        <v>4.794391962175455</v>
      </c>
      <c r="D764" s="278">
        <f>C764*Conversions!$B$53</f>
        <v>121.77755519832206</v>
      </c>
      <c r="E764" s="279">
        <f>C764*Conversions!$B$59</f>
        <v>2.3547933568349224</v>
      </c>
      <c r="F764" s="280">
        <f>H764*Conversions!$D$67</f>
        <v>0.16556940498213976</v>
      </c>
      <c r="G764" s="281">
        <f t="shared" si="107"/>
        <v>1.6235672079565768</v>
      </c>
      <c r="H764" s="282">
        <f>C764*Conversions!$B$50</f>
        <v>162.35672079565768</v>
      </c>
      <c r="K764">
        <f t="shared" si="108"/>
        <v>1</v>
      </c>
    </row>
    <row r="765" spans="1:11" ht="15">
      <c r="A765" s="562">
        <f t="shared" si="105"/>
        <v>43500</v>
      </c>
      <c r="B765" s="277">
        <f>A765*Conversions!B$35</f>
        <v>13258.803617001628</v>
      </c>
      <c r="C765" s="573">
        <f t="shared" si="109"/>
        <v>4.680547912927359</v>
      </c>
      <c r="D765" s="278">
        <f>C765*Conversions!$B$53</f>
        <v>118.88591636263958</v>
      </c>
      <c r="E765" s="279">
        <f>C765*Conversions!$B$59</f>
        <v>2.2988781932438833</v>
      </c>
      <c r="F765" s="280">
        <f>H765*Conversions!$D$67</f>
        <v>0.16163791760199409</v>
      </c>
      <c r="G765" s="281">
        <f t="shared" si="107"/>
        <v>1.5850151941374284</v>
      </c>
      <c r="H765" s="282">
        <f>C765*Conversions!$B$50</f>
        <v>158.50151941374284</v>
      </c>
      <c r="K765">
        <f t="shared" si="108"/>
        <v>1</v>
      </c>
    </row>
    <row r="766" spans="1:11" ht="15">
      <c r="A766" s="562">
        <f t="shared" si="105"/>
        <v>44000</v>
      </c>
      <c r="B766" s="277">
        <f>A766*Conversions!B$35</f>
        <v>13411.20365857636</v>
      </c>
      <c r="C766" s="573">
        <f t="shared" si="109"/>
        <v>4.56940711941043</v>
      </c>
      <c r="D766" s="278">
        <f>C766*Conversions!$B$53</f>
        <v>116.06294022216736</v>
      </c>
      <c r="E766" s="279">
        <f>C766*Conversions!$B$59</f>
        <v>2.244290749348646</v>
      </c>
      <c r="F766" s="280">
        <f>H766*Conversions!$D$67</f>
        <v>0.1577997843836389</v>
      </c>
      <c r="G766" s="281">
        <f t="shared" si="107"/>
        <v>1.5473786076330405</v>
      </c>
      <c r="H766" s="282">
        <f>C766*Conversions!$B$50</f>
        <v>154.73786076330404</v>
      </c>
      <c r="K766">
        <f t="shared" si="108"/>
        <v>1</v>
      </c>
    </row>
    <row r="767" spans="1:11" ht="15">
      <c r="A767" s="562">
        <f t="shared" si="105"/>
        <v>44500</v>
      </c>
      <c r="B767" s="277">
        <f>A767*Conversions!B$35</f>
        <v>13563.60370015109</v>
      </c>
      <c r="C767" s="573">
        <f t="shared" si="109"/>
        <v>4.460905392133897</v>
      </c>
      <c r="D767" s="278">
        <f>C767*Conversions!$B$53</f>
        <v>113.30699636384838</v>
      </c>
      <c r="E767" s="279">
        <f>C767*Conversions!$B$59</f>
        <v>2.190999498109363</v>
      </c>
      <c r="F767" s="280">
        <f>H767*Conversions!$D$67</f>
        <v>0.15405278860890073</v>
      </c>
      <c r="G767" s="281">
        <f t="shared" si="107"/>
        <v>1.5106357113903865</v>
      </c>
      <c r="H767" s="282">
        <f>C767*Conversions!$B$50</f>
        <v>151.06357113903866</v>
      </c>
      <c r="K767">
        <f t="shared" si="108"/>
        <v>1</v>
      </c>
    </row>
    <row r="768" spans="1:11" ht="15">
      <c r="A768" s="562">
        <f t="shared" si="105"/>
        <v>45000</v>
      </c>
      <c r="B768" s="277">
        <f>A768*Conversions!B$35</f>
        <v>13716.003741725823</v>
      </c>
      <c r="C768" s="573">
        <f t="shared" si="109"/>
        <v>4.354980065802683</v>
      </c>
      <c r="D768" s="278">
        <f>C768*Conversions!$B$53</f>
        <v>110.61649308919608</v>
      </c>
      <c r="E768" s="279">
        <f>C768*Conversions!$B$59</f>
        <v>2.1389736611037176</v>
      </c>
      <c r="F768" s="280">
        <f>H768*Conversions!$D$67</f>
        <v>0.1503947661961399</v>
      </c>
      <c r="G768" s="281">
        <f t="shared" si="107"/>
        <v>1.4747652845082622</v>
      </c>
      <c r="H768" s="282">
        <f>C768*Conversions!$B$50</f>
        <v>147.4765284508262</v>
      </c>
      <c r="K768">
        <f t="shared" si="108"/>
        <v>1</v>
      </c>
    </row>
    <row r="769" spans="1:11" ht="15">
      <c r="A769" s="562">
        <f t="shared" si="105"/>
        <v>45500</v>
      </c>
      <c r="B769" s="277">
        <f>A769*Conversions!B$35</f>
        <v>13868.403783300553</v>
      </c>
      <c r="C769" s="573">
        <f t="shared" si="109"/>
        <v>4.251569963124981</v>
      </c>
      <c r="D769" s="278">
        <f>C769*Conversions!$B$53</f>
        <v>107.98987649500674</v>
      </c>
      <c r="E769" s="279">
        <f>C769*Conversions!$B$59</f>
        <v>2.0881831907508146</v>
      </c>
      <c r="F769" s="280">
        <f>H769*Conversions!$D$67</f>
        <v>0.1468236044503822</v>
      </c>
      <c r="G769" s="281">
        <f t="shared" si="107"/>
        <v>1.439746609981126</v>
      </c>
      <c r="H769" s="282">
        <f>C769*Conversions!$B$50</f>
        <v>143.9746609981126</v>
      </c>
      <c r="K769">
        <f t="shared" si="108"/>
        <v>1</v>
      </c>
    </row>
    <row r="770" spans="1:11" ht="15">
      <c r="A770" s="562">
        <f t="shared" si="105"/>
        <v>46000</v>
      </c>
      <c r="B770" s="277">
        <f>A770*Conversions!B$35</f>
        <v>14020.803824875285</v>
      </c>
      <c r="C770" s="573">
        <f t="shared" si="109"/>
        <v>4.150615359479245</v>
      </c>
      <c r="D770" s="278">
        <f>C770*Conversions!$B$53</f>
        <v>105.42562957590108</v>
      </c>
      <c r="E770" s="279">
        <f>C770*Conversions!$B$59</f>
        <v>2.038598752957161</v>
      </c>
      <c r="F770" s="280">
        <f>H770*Conversions!$D$67</f>
        <v>0.14333724084312977</v>
      </c>
      <c r="G770" s="281">
        <f t="shared" si="107"/>
        <v>1.4055594627339707</v>
      </c>
      <c r="H770" s="282">
        <f>C770*Conversions!$B$50</f>
        <v>140.55594627339707</v>
      </c>
      <c r="K770">
        <f t="shared" si="108"/>
        <v>1</v>
      </c>
    </row>
    <row r="771" spans="1:11" ht="15">
      <c r="A771" s="562">
        <f t="shared" si="105"/>
        <v>46500</v>
      </c>
      <c r="B771" s="277">
        <f>A771*Conversions!B$35</f>
        <v>14173.203866450016</v>
      </c>
      <c r="C771" s="573">
        <f t="shared" si="109"/>
        <v>4.0520579484201695</v>
      </c>
      <c r="D771" s="278">
        <f>C771*Conversions!$B$53</f>
        <v>102.92227134817615</v>
      </c>
      <c r="E771" s="279">
        <f>C771*Conversions!$B$59</f>
        <v>1.9901917101747324</v>
      </c>
      <c r="F771" s="280">
        <f>H771*Conversions!$D$67</f>
        <v>0.1399336618211453</v>
      </c>
      <c r="G771" s="281">
        <f t="shared" si="107"/>
        <v>1.3721840979413091</v>
      </c>
      <c r="H771" s="282">
        <f>C771*Conversions!$B$50</f>
        <v>137.2184097941309</v>
      </c>
      <c r="K771">
        <f t="shared" si="108"/>
        <v>1</v>
      </c>
    </row>
    <row r="772" spans="1:11" ht="15">
      <c r="A772" s="562">
        <f t="shared" si="105"/>
        <v>47000</v>
      </c>
      <c r="B772" s="277">
        <f>A772*Conversions!B$35</f>
        <v>14325.603908024748</v>
      </c>
      <c r="C772" s="573">
        <f t="shared" si="109"/>
        <v>3.9558408080037304</v>
      </c>
      <c r="D772" s="278">
        <f>C772*Conversions!$B$53</f>
        <v>100.47835599446131</v>
      </c>
      <c r="E772" s="279">
        <f>C772*Conversions!$B$59</f>
        <v>1.94293410486132</v>
      </c>
      <c r="F772" s="280">
        <f>H772*Conversions!$D$67</f>
        <v>0.13661090164352221</v>
      </c>
      <c r="G772" s="281">
        <f t="shared" si="107"/>
        <v>1.3396012396235253</v>
      </c>
      <c r="H772" s="282">
        <f>C772*Conversions!$B$50</f>
        <v>133.96012396235253</v>
      </c>
      <c r="K772">
        <f t="shared" si="108"/>
        <v>1</v>
      </c>
    </row>
    <row r="773" spans="1:11" ht="15">
      <c r="A773" s="562">
        <f t="shared" si="105"/>
        <v>47500</v>
      </c>
      <c r="B773" s="277">
        <f>A773*Conversions!B$35</f>
        <v>14478.003949599479</v>
      </c>
      <c r="C773" s="573">
        <f t="shared" si="109"/>
        <v>3.8619083679118567</v>
      </c>
      <c r="D773" s="278">
        <f>C773*Conversions!$B$53</f>
        <v>98.092472028685</v>
      </c>
      <c r="E773" s="279">
        <f>C773*Conversions!$B$59</f>
        <v>1.8967986433336244</v>
      </c>
      <c r="F773" s="280">
        <f>H773*Conversions!$D$67</f>
        <v>0.13336704124636872</v>
      </c>
      <c r="G773" s="281">
        <f t="shared" si="107"/>
        <v>1.3077920695140142</v>
      </c>
      <c r="H773" s="282">
        <f>C773*Conversions!$B$50</f>
        <v>130.77920695140142</v>
      </c>
      <c r="K773">
        <f t="shared" si="108"/>
        <v>1</v>
      </c>
    </row>
    <row r="774" spans="1:11" ht="15">
      <c r="A774" s="562">
        <f t="shared" si="105"/>
        <v>48000</v>
      </c>
      <c r="B774" s="277">
        <f>A774*Conversions!B$35</f>
        <v>14630.403991174211</v>
      </c>
      <c r="C774" s="573">
        <f t="shared" si="109"/>
        <v>3.7702063773577317</v>
      </c>
      <c r="D774" s="278">
        <f>C774*Conversions!$B$53</f>
        <v>95.76324148086933</v>
      </c>
      <c r="E774" s="279">
        <f>C774*Conversions!$B$59</f>
        <v>1.8517586800037573</v>
      </c>
      <c r="F774" s="280">
        <f>H774*Conversions!$D$67</f>
        <v>0.13020020713445038</v>
      </c>
      <c r="G774" s="281">
        <f t="shared" si="107"/>
        <v>1.276738216190669</v>
      </c>
      <c r="H774" s="282">
        <f>C774*Conversions!$B$50</f>
        <v>127.6738216190669</v>
      </c>
      <c r="K774">
        <f t="shared" si="108"/>
        <v>1</v>
      </c>
    </row>
    <row r="775" spans="1:11" ht="15">
      <c r="A775" s="562">
        <f t="shared" si="105"/>
        <v>48500</v>
      </c>
      <c r="B775" s="277">
        <f>A775*Conversions!B$35</f>
        <v>14782.804032748942</v>
      </c>
      <c r="C775" s="573">
        <f t="shared" si="109"/>
        <v>3.680681873753182</v>
      </c>
      <c r="D775" s="278">
        <f>C775*Conversions!$B$53</f>
        <v>93.48931910128178</v>
      </c>
      <c r="E775" s="279">
        <f>C775*Conversions!$B$59</f>
        <v>1.8077882019900486</v>
      </c>
      <c r="F775" s="280">
        <f>H775*Conversions!$D$67</f>
        <v>0.12710857029915065</v>
      </c>
      <c r="G775" s="281">
        <f t="shared" si="107"/>
        <v>1.2464217444654444</v>
      </c>
      <c r="H775" s="282">
        <f>C775*Conversions!$B$50</f>
        <v>124.64217444654443</v>
      </c>
      <c r="K775">
        <f t="shared" si="108"/>
        <v>1</v>
      </c>
    </row>
    <row r="776" spans="1:11" ht="15">
      <c r="A776" s="562">
        <f t="shared" si="105"/>
        <v>49000</v>
      </c>
      <c r="B776" s="277">
        <f>A776*Conversions!B$35</f>
        <v>14935.204074323674</v>
      </c>
      <c r="C776" s="573">
        <f t="shared" si="109"/>
        <v>3.593283152120086</v>
      </c>
      <c r="D776" s="278">
        <f>C776*Conversions!$B$53</f>
        <v>91.26939158348497</v>
      </c>
      <c r="E776" s="279">
        <f>C776*Conversions!$B$59</f>
        <v>1.7648618140932828</v>
      </c>
      <c r="F776" s="280">
        <f>H776*Conversions!$D$67</f>
        <v>0.12409034516212504</v>
      </c>
      <c r="G776" s="281">
        <f t="shared" si="107"/>
        <v>1.2168251450258702</v>
      </c>
      <c r="H776" s="282">
        <f>C776*Conversions!$B$50</f>
        <v>121.68251450258703</v>
      </c>
      <c r="K776">
        <f t="shared" si="108"/>
        <v>1</v>
      </c>
    </row>
    <row r="777" spans="1:11" ht="15">
      <c r="A777" s="562">
        <f t="shared" si="105"/>
        <v>49500</v>
      </c>
      <c r="B777" s="277">
        <f>A777*Conversions!B$35</f>
        <v>15087.604115898404</v>
      </c>
      <c r="C777" s="573">
        <f t="shared" si="109"/>
        <v>3.5079597352280936</v>
      </c>
      <c r="D777" s="278">
        <f>C777*Conversions!$B$53</f>
        <v>89.10217680583476</v>
      </c>
      <c r="E777" s="279">
        <f>C777*Conversions!$B$59</f>
        <v>1.7229547241296677</v>
      </c>
      <c r="F777" s="280">
        <f>H777*Conversions!$D$67</f>
        <v>0.12114378854403825</v>
      </c>
      <c r="G777" s="281">
        <f t="shared" si="107"/>
        <v>1.1879313243225271</v>
      </c>
      <c r="H777" s="282">
        <f>C777*Conversions!$B$50</f>
        <v>118.79313243225272</v>
      </c>
      <c r="K777">
        <f t="shared" si="108"/>
        <v>1</v>
      </c>
    </row>
    <row r="778" spans="1:11" ht="15">
      <c r="A778" s="562">
        <f t="shared" si="105"/>
        <v>50000</v>
      </c>
      <c r="B778" s="277">
        <f>A778*Conversions!B$35</f>
        <v>15240.004157473137</v>
      </c>
      <c r="C778" s="573">
        <f t="shared" si="109"/>
        <v>3.424662344441457</v>
      </c>
      <c r="D778" s="278">
        <f>C778*Conversions!$B$53</f>
        <v>86.98642309098973</v>
      </c>
      <c r="E778" s="279">
        <f>C778*Conversions!$B$59</f>
        <v>1.6820427286120854</v>
      </c>
      <c r="F778" s="280">
        <f>H778*Conversions!$D$67</f>
        <v>0.11826719865778908</v>
      </c>
      <c r="G778" s="281">
        <f t="shared" si="107"/>
        <v>1.1597235946966493</v>
      </c>
      <c r="H778" s="282">
        <f>C778*Conversions!$B$50</f>
        <v>115.97235946966492</v>
      </c>
      <c r="K778">
        <f t="shared" si="108"/>
        <v>1</v>
      </c>
    </row>
    <row r="779" spans="1:11" ht="15">
      <c r="A779" s="562">
        <f t="shared" si="105"/>
        <v>50500</v>
      </c>
      <c r="B779" s="277">
        <f>A779*Conversions!B$35</f>
        <v>15392.404199047867</v>
      </c>
      <c r="C779" s="573">
        <f t="shared" si="109"/>
        <v>3.3433428712580864</v>
      </c>
      <c r="D779" s="278">
        <f>C779*Conversions!$B$53</f>
        <v>84.92090848300325</v>
      </c>
      <c r="E779" s="279">
        <f>C779*Conversions!$B$59</f>
        <v>1.6421021987713365</v>
      </c>
      <c r="F779" s="280">
        <f>H779*Conversions!$D$67</f>
        <v>0.11545891412564115</v>
      </c>
      <c r="G779" s="281">
        <f t="shared" si="107"/>
        <v>1.1321856647421453</v>
      </c>
      <c r="H779" s="282">
        <f>C779*Conversions!$B$50</f>
        <v>113.21856647421453</v>
      </c>
      <c r="K779">
        <f t="shared" si="108"/>
        <v>1</v>
      </c>
    </row>
    <row r="780" spans="1:11" ht="15">
      <c r="A780" s="562">
        <f t="shared" si="105"/>
        <v>51000</v>
      </c>
      <c r="B780" s="277">
        <f>A780*Conversions!B$35</f>
        <v>15544.8042406226</v>
      </c>
      <c r="C780" s="573">
        <f t="shared" si="109"/>
        <v>3.2639543495244423</v>
      </c>
      <c r="D780" s="278">
        <f>C780*Conversions!$B$53</f>
        <v>82.90444004158168</v>
      </c>
      <c r="E780" s="279">
        <f>C780*Conversions!$B$59</f>
        <v>1.6031100669093215</v>
      </c>
      <c r="F780" s="280">
        <f>H780*Conversions!$D$67</f>
        <v>0.11271731301969258</v>
      </c>
      <c r="G780" s="281">
        <f t="shared" si="107"/>
        <v>1.105301629896482</v>
      </c>
      <c r="H780" s="282">
        <f>C780*Conversions!$B$50</f>
        <v>110.5301629896482</v>
      </c>
      <c r="K780">
        <f t="shared" si="108"/>
        <v>1</v>
      </c>
    </row>
    <row r="781" spans="1:11" ht="15">
      <c r="A781" s="562">
        <f t="shared" si="105"/>
        <v>51500</v>
      </c>
      <c r="B781" s="277">
        <f>A781*Conversions!B$35</f>
        <v>15697.20428219733</v>
      </c>
      <c r="C781" s="573">
        <f t="shared" si="109"/>
        <v>3.1864509283101716</v>
      </c>
      <c r="D781" s="278">
        <f>C781*Conversions!$B$53</f>
        <v>80.93585315310018</v>
      </c>
      <c r="E781" s="279">
        <f>C781*Conversions!$B$59</f>
        <v>1.5650438130762636</v>
      </c>
      <c r="F781" s="280">
        <f>H781*Conversions!$D$67</f>
        <v>0.11004081192512953</v>
      </c>
      <c r="G781" s="281">
        <f t="shared" si="107"/>
        <v>1.0790559632549839</v>
      </c>
      <c r="H781" s="282">
        <f>C781*Conversions!$B$50</f>
        <v>107.90559632549838</v>
      </c>
      <c r="K781">
        <f t="shared" si="108"/>
        <v>1</v>
      </c>
    </row>
    <row r="782" spans="1:11" ht="15">
      <c r="A782" s="562">
        <f t="shared" si="105"/>
        <v>52000</v>
      </c>
      <c r="B782" s="277">
        <f>A782*Conversions!B$35</f>
        <v>15849.60432377206</v>
      </c>
      <c r="C782" s="573">
        <f t="shared" si="109"/>
        <v>3.1107878454268563</v>
      </c>
      <c r="D782" s="278">
        <f>C782*Conversions!$B$53</f>
        <v>79.01401085797895</v>
      </c>
      <c r="E782" s="279">
        <f>C782*Conversions!$B$59</f>
        <v>1.5278814520642874</v>
      </c>
      <c r="F782" s="280">
        <f>H782*Conversions!$D$67</f>
        <v>0.10742786502572323</v>
      </c>
      <c r="G782" s="281">
        <f t="shared" si="107"/>
        <v>1.053433506603252</v>
      </c>
      <c r="H782" s="282">
        <f>C782*Conversions!$B$50</f>
        <v>105.34335066032521</v>
      </c>
      <c r="K782">
        <f t="shared" si="108"/>
        <v>1</v>
      </c>
    </row>
    <row r="783" spans="1:11" ht="15">
      <c r="A783" s="562">
        <f t="shared" si="105"/>
        <v>52500</v>
      </c>
      <c r="B783" s="277">
        <f>A783*Conversions!B$35</f>
        <v>16002.004365346793</v>
      </c>
      <c r="C783" s="573">
        <f t="shared" si="109"/>
        <v>3.0369214015755577</v>
      </c>
      <c r="D783" s="278">
        <f>C783*Conversions!$B$53</f>
        <v>77.13780319403074</v>
      </c>
      <c r="E783" s="279">
        <f>C783*Conversions!$B$59</f>
        <v>1.4916015207098363</v>
      </c>
      <c r="F783" s="280">
        <f>H783*Conversions!$D$67</f>
        <v>0.10487696321104206</v>
      </c>
      <c r="G783" s="281">
        <f t="shared" si="107"/>
        <v>1.0284194616625215</v>
      </c>
      <c r="H783" s="282">
        <f>C783*Conversions!$B$50</f>
        <v>102.84194616625216</v>
      </c>
      <c r="K783">
        <f t="shared" si="108"/>
        <v>1</v>
      </c>
    </row>
    <row r="784" spans="1:11" ht="15">
      <c r="A784" s="562">
        <f t="shared" si="105"/>
        <v>53000</v>
      </c>
      <c r="B784" s="277">
        <f>A784*Conversions!B$35</f>
        <v>16154.404406921523</v>
      </c>
      <c r="C784" s="573">
        <f t="shared" si="109"/>
        <v>2.964808935108238</v>
      </c>
      <c r="D784" s="278">
        <f>C784*Conversions!$B$53</f>
        <v>75.30614655540111</v>
      </c>
      <c r="E784" s="279">
        <f>C784*Conversions!$B$59</f>
        <v>1.4561830654975982</v>
      </c>
      <c r="F784" s="280">
        <f>H784*Conversions!$D$67</f>
        <v>0.10238663320486313</v>
      </c>
      <c r="G784" s="281">
        <f t="shared" si="107"/>
        <v>1.003999381542897</v>
      </c>
      <c r="H784" s="282">
        <f>C784*Conversions!$B$50</f>
        <v>100.3999381542897</v>
      </c>
      <c r="K784">
        <f t="shared" si="108"/>
        <v>1</v>
      </c>
    </row>
    <row r="785" spans="1:11" ht="15">
      <c r="A785" s="562">
        <f t="shared" si="105"/>
        <v>53500</v>
      </c>
      <c r="B785" s="277">
        <f>A785*Conversions!B$35</f>
        <v>16306.804448496256</v>
      </c>
      <c r="C785" s="573">
        <f t="shared" si="109"/>
        <v>2.89440879738848</v>
      </c>
      <c r="D785" s="278">
        <f>C785*Conversions!$B$53</f>
        <v>73.51798306673065</v>
      </c>
      <c r="E785" s="279">
        <f>C785*Conversions!$B$59</f>
        <v>1.421605630458781</v>
      </c>
      <c r="F785" s="280">
        <f>H785*Conversions!$D$67</f>
        <v>0.09995543671427998</v>
      </c>
      <c r="G785" s="281">
        <f t="shared" si="107"/>
        <v>0.9801591623995372</v>
      </c>
      <c r="H785" s="282">
        <f>C785*Conversions!$B$50</f>
        <v>98.01591623995371</v>
      </c>
      <c r="K785">
        <f t="shared" si="108"/>
        <v>1</v>
      </c>
    </row>
    <row r="786" spans="1:11" ht="15">
      <c r="A786" s="562">
        <f t="shared" si="105"/>
        <v>54000</v>
      </c>
      <c r="B786" s="277">
        <f>A786*Conversions!B$35</f>
        <v>16459.204490070988</v>
      </c>
      <c r="C786" s="573">
        <f t="shared" si="109"/>
        <v>2.8256803287372647</v>
      </c>
      <c r="D786" s="278">
        <f>C786*Conversions!$B$53</f>
        <v>71.77227997217769</v>
      </c>
      <c r="E786" s="279">
        <f>C786*Conversions!$B$59</f>
        <v>1.387849245356741</v>
      </c>
      <c r="F786" s="280">
        <f>H786*Conversions!$D$67</f>
        <v>0.09758196959901476</v>
      </c>
      <c r="G786" s="281">
        <f t="shared" si="107"/>
        <v>0.956885035286961</v>
      </c>
      <c r="H786" s="282">
        <f>C786*Conversions!$B$50</f>
        <v>95.6885035286961</v>
      </c>
      <c r="K786">
        <f t="shared" si="108"/>
        <v>1</v>
      </c>
    </row>
    <row r="787" spans="1:11" ht="15">
      <c r="A787" s="562">
        <f t="shared" si="105"/>
        <v>54500</v>
      </c>
      <c r="B787" s="277">
        <f>A787*Conversions!B$35</f>
        <v>16611.604531645717</v>
      </c>
      <c r="C787" s="573">
        <f>C$19*EXP((-G$18*H$18*(A787-B$19))/(F$18*D$19))</f>
        <v>2.758583834949932</v>
      </c>
      <c r="D787" s="278">
        <f>C787*Conversions!$B$53</f>
        <v>70.06802903894918</v>
      </c>
      <c r="E787" s="279">
        <f>C787*Conversions!$B$59</f>
        <v>1.354894414153154</v>
      </c>
      <c r="F787" s="280">
        <f>H787*Conversions!$D$67</f>
        <v>0.09526486106045552</v>
      </c>
      <c r="G787" s="281">
        <f t="shared" si="107"/>
        <v>0.9341635582067797</v>
      </c>
      <c r="H787" s="282">
        <f>C787*Conversions!$B$50</f>
        <v>93.41635582067796</v>
      </c>
      <c r="K787">
        <f t="shared" si="108"/>
        <v>1</v>
      </c>
    </row>
    <row r="788" spans="1:11" ht="15">
      <c r="A788" s="562">
        <f t="shared" si="105"/>
        <v>55000</v>
      </c>
      <c r="B788" s="277">
        <f>A788*Conversions!B$35</f>
        <v>16764.00457322045</v>
      </c>
      <c r="C788" s="573">
        <f>C$19*EXP((-G$18*H$18*(A788-B$19))/(F$18*D$19))</f>
        <v>2.693080564370749</v>
      </c>
      <c r="D788" s="278">
        <f>C788*Conversions!$B$53</f>
        <v>68.40424597499468</v>
      </c>
      <c r="E788" s="279">
        <f>C788*Conversions!$B$59</f>
        <v>1.322722103748055</v>
      </c>
      <c r="F788" s="280">
        <f>H788*Conversions!$D$67</f>
        <v>0.09300277284995002</v>
      </c>
      <c r="G788" s="281">
        <f t="shared" si="107"/>
        <v>0.9119816083442548</v>
      </c>
      <c r="H788" s="282">
        <f>C788*Conversions!$B$50</f>
        <v>91.19816083442548</v>
      </c>
      <c r="K788">
        <f t="shared" si="108"/>
        <v>1</v>
      </c>
    </row>
    <row r="789" spans="1:11" ht="15">
      <c r="A789" s="562">
        <f t="shared" si="105"/>
        <v>55500</v>
      </c>
      <c r="B789" s="277">
        <f>A789*Conversions!B$35</f>
        <v>16916.40461479518</v>
      </c>
      <c r="C789" s="573">
        <f aca="true" t="shared" si="110" ref="C789:C809">C$19*EXP((-G$18*H$18*(A789-B$19))/(F$18*D$19))</f>
        <v>2.629132685511842</v>
      </c>
      <c r="D789" s="278">
        <f>C789*Conversions!$B$53</f>
        <v>66.77996986052727</v>
      </c>
      <c r="E789" s="279">
        <f>C789*Conversions!$B$59</f>
        <v>1.2913137329872484</v>
      </c>
      <c r="F789" s="280">
        <f>H789*Conversions!$D$67</f>
        <v>0.09079439849589847</v>
      </c>
      <c r="G789" s="281">
        <f t="shared" si="107"/>
        <v>0.8903263744892007</v>
      </c>
      <c r="H789" s="282">
        <f>C789*Conversions!$B$50</f>
        <v>89.03263744892007</v>
      </c>
      <c r="K789">
        <f t="shared" si="108"/>
        <v>1</v>
      </c>
    </row>
    <row r="790" spans="1:11" ht="15">
      <c r="A790" s="562">
        <f t="shared" si="105"/>
        <v>56000</v>
      </c>
      <c r="B790" s="277">
        <f>A790*Conversions!B$35</f>
        <v>17068.804656369914</v>
      </c>
      <c r="C790" s="573">
        <f t="shared" si="110"/>
        <v>2.566703265203584</v>
      </c>
      <c r="D790" s="278">
        <f>C790*Conversions!$B$53</f>
        <v>65.19426259304333</v>
      </c>
      <c r="E790" s="279">
        <f>C790*Conversions!$B$59</f>
        <v>1.2606511619307432</v>
      </c>
      <c r="F790" s="280">
        <f>H790*Conversions!$D$67</f>
        <v>0.0886384625491996</v>
      </c>
      <c r="G790" s="281">
        <f t="shared" si="107"/>
        <v>0.8691853496368575</v>
      </c>
      <c r="H790" s="282">
        <f>C790*Conversions!$B$50</f>
        <v>86.91853496368574</v>
      </c>
      <c r="K790">
        <f t="shared" si="108"/>
        <v>1</v>
      </c>
    </row>
    <row r="791" spans="1:11" ht="15">
      <c r="A791" s="562">
        <f t="shared" si="105"/>
        <v>56500</v>
      </c>
      <c r="B791" s="277">
        <f>A791*Conversions!B$35</f>
        <v>17221.204697944642</v>
      </c>
      <c r="C791" s="573">
        <f t="shared" si="110"/>
        <v>2.5057562472637955</v>
      </c>
      <c r="D791" s="278">
        <f>C791*Conversions!$B$53</f>
        <v>63.646208345520364</v>
      </c>
      <c r="E791" s="279">
        <f>C791*Conversions!$B$59</f>
        <v>1.2307166813760095</v>
      </c>
      <c r="F791" s="280">
        <f>H791*Conversions!$D$67</f>
        <v>0.08653371984661343</v>
      </c>
      <c r="G791" s="281">
        <f t="shared" si="107"/>
        <v>0.848546323764454</v>
      </c>
      <c r="H791" s="282">
        <f>C791*Conversions!$B$50</f>
        <v>84.85463237644541</v>
      </c>
      <c r="K791">
        <f t="shared" si="108"/>
        <v>1</v>
      </c>
    </row>
    <row r="792" spans="1:11" ht="15">
      <c r="A792" s="562">
        <f t="shared" si="105"/>
        <v>57000</v>
      </c>
      <c r="B792" s="277">
        <f>A792*Conversions!B$35</f>
        <v>17373.604739519375</v>
      </c>
      <c r="C792" s="573">
        <f t="shared" si="110"/>
        <v>2.4462564316734605</v>
      </c>
      <c r="D792" s="278">
        <f>C792*Conversions!$B$53</f>
        <v>62.13491303748004</v>
      </c>
      <c r="E792" s="279">
        <f>C792*Conversions!$B$59</f>
        <v>1.2014930026300088</v>
      </c>
      <c r="F792" s="280">
        <f>H792*Conversions!$D$67</f>
        <v>0.08447895479161598</v>
      </c>
      <c r="G792" s="281">
        <f t="shared" si="107"/>
        <v>0.828397376779298</v>
      </c>
      <c r="H792" s="282">
        <f>C792*Conversions!$B$50</f>
        <v>82.8397376779298</v>
      </c>
      <c r="K792">
        <f t="shared" si="108"/>
        <v>1</v>
      </c>
    </row>
    <row r="793" spans="1:11" ht="15">
      <c r="A793" s="562">
        <f t="shared" si="105"/>
        <v>57500</v>
      </c>
      <c r="B793" s="277">
        <f>A793*Conversions!B$35</f>
        <v>17526.004781094107</v>
      </c>
      <c r="C793" s="573">
        <f t="shared" si="110"/>
        <v>2.388169454246914</v>
      </c>
      <c r="D793" s="278">
        <f>C793*Conversions!$B$53</f>
        <v>60.65950381861107</v>
      </c>
      <c r="E793" s="279">
        <f>C793*Conversions!$B$59</f>
        <v>1.1729632475240896</v>
      </c>
      <c r="F793" s="280">
        <f>H793*Conversions!$D$67</f>
        <v>0.08247298065233004</v>
      </c>
      <c r="G793" s="281">
        <f t="shared" si="107"/>
        <v>0.8087268716343113</v>
      </c>
      <c r="H793" s="282">
        <f>C793*Conversions!$B$50</f>
        <v>80.87268716343114</v>
      </c>
      <c r="K793">
        <f t="shared" si="108"/>
        <v>1</v>
      </c>
    </row>
    <row r="794" spans="1:11" ht="15">
      <c r="A794" s="562">
        <f t="shared" si="105"/>
        <v>58000</v>
      </c>
      <c r="B794" s="277">
        <f>A794*Conversions!B$35</f>
        <v>17678.40482266884</v>
      </c>
      <c r="C794" s="573">
        <f t="shared" si="110"/>
        <v>2.331461766784765</v>
      </c>
      <c r="D794" s="278">
        <f>C794*Conversions!$B$53</f>
        <v>59.21912856465341</v>
      </c>
      <c r="E794" s="279">
        <f>C794*Conversions!$B$59</f>
        <v>1.1451109386659821</v>
      </c>
      <c r="F794" s="280">
        <f>H794*Conversions!$D$67</f>
        <v>0.08051463887612682</v>
      </c>
      <c r="G794" s="281">
        <f t="shared" si="107"/>
        <v>0.7895234476070404</v>
      </c>
      <c r="H794" s="282">
        <f>C794*Conversions!$B$50</f>
        <v>78.95234476070404</v>
      </c>
      <c r="K794">
        <f t="shared" si="108"/>
        <v>1</v>
      </c>
    </row>
    <row r="795" spans="1:11" ht="15">
      <c r="A795" s="562">
        <f t="shared" si="105"/>
        <v>58500</v>
      </c>
      <c r="B795" s="277">
        <f>A795*Conversions!B$35</f>
        <v>17830.804864243568</v>
      </c>
      <c r="C795" s="573">
        <f t="shared" si="110"/>
        <v>2.276100617698102</v>
      </c>
      <c r="D795" s="278">
        <f>C795*Conversions!$B$53</f>
        <v>57.81295538525308</v>
      </c>
      <c r="E795" s="279">
        <f>C795*Conversions!$B$59</f>
        <v>1.1179199899232621</v>
      </c>
      <c r="F795" s="280">
        <f>H795*Conversions!$D$67</f>
        <v>0.07860279842050266</v>
      </c>
      <c r="G795" s="281">
        <f t="shared" si="107"/>
        <v>0.770776013738259</v>
      </c>
      <c r="H795" s="282">
        <f>C795*Conversions!$B$50</f>
        <v>77.0776013738259</v>
      </c>
      <c r="K795">
        <f t="shared" si="108"/>
        <v>1</v>
      </c>
    </row>
    <row r="796" spans="1:11" ht="15">
      <c r="A796" s="562">
        <f t="shared" si="105"/>
        <v>59000</v>
      </c>
      <c r="B796" s="277">
        <f>A796*Conversions!B$35</f>
        <v>17983.2049058183</v>
      </c>
      <c r="C796" s="573">
        <f t="shared" si="110"/>
        <v>2.222054033092769</v>
      </c>
      <c r="D796" s="278">
        <f>C796*Conversions!$B$53</f>
        <v>56.4401721435028</v>
      </c>
      <c r="E796" s="279">
        <f>C796*Conversions!$B$59</f>
        <v>1.0913746971327856</v>
      </c>
      <c r="F796" s="280">
        <f>H796*Conversions!$D$67</f>
        <v>0.07673635509984401</v>
      </c>
      <c r="G796" s="281">
        <f t="shared" si="107"/>
        <v>0.7524737424263712</v>
      </c>
      <c r="H796" s="282">
        <f>C796*Conversions!$B$50</f>
        <v>75.24737424263712</v>
      </c>
      <c r="K796">
        <f t="shared" si="108"/>
        <v>1</v>
      </c>
    </row>
    <row r="797" spans="1:11" ht="15">
      <c r="A797" s="562">
        <f t="shared" si="105"/>
        <v>59500</v>
      </c>
      <c r="B797" s="277">
        <f>A797*Conversions!B$35</f>
        <v>18135.604947393032</v>
      </c>
      <c r="C797" s="573">
        <f t="shared" si="110"/>
        <v>2.169290798302813</v>
      </c>
      <c r="D797" s="278">
        <f>C797*Conversions!$B$53</f>
        <v>55.099985986891525</v>
      </c>
      <c r="E797" s="279">
        <f>C797*Conversions!$B$59</f>
        <v>1.065459729030734</v>
      </c>
      <c r="F797" s="280">
        <f>H797*Conversions!$D$67</f>
        <v>0.07491423094770398</v>
      </c>
      <c r="G797" s="281">
        <f t="shared" si="107"/>
        <v>0.734606063173919</v>
      </c>
      <c r="H797" s="282">
        <f>C797*Conversions!$B$50</f>
        <v>73.46060631739189</v>
      </c>
      <c r="K797">
        <f t="shared" si="108"/>
        <v>1</v>
      </c>
    </row>
    <row r="798" spans="1:11" ht="15">
      <c r="A798" s="562">
        <f t="shared" si="105"/>
        <v>60000</v>
      </c>
      <c r="B798" s="277">
        <f>A798*Conversions!B$35</f>
        <v>18288.004988967765</v>
      </c>
      <c r="C798" s="573">
        <f t="shared" si="110"/>
        <v>2.1177804398624134</v>
      </c>
      <c r="D798" s="278">
        <f>C798*Conversions!$B$53</f>
        <v>53.7916228893915</v>
      </c>
      <c r="E798" s="279">
        <f>C798*Conversions!$B$59</f>
        <v>1.040160118398023</v>
      </c>
      <c r="F798" s="280">
        <f>H798*Conversions!$D$67</f>
        <v>0.07313537359422138</v>
      </c>
      <c r="G798" s="281">
        <f t="shared" si="107"/>
        <v>0.7171626564825782</v>
      </c>
      <c r="H798" s="282">
        <f>C798*Conversions!$B$50</f>
        <v>71.71626564825782</v>
      </c>
      <c r="K798">
        <f aca="true" t="shared" si="111" ref="K798:K851">K797</f>
        <v>1</v>
      </c>
    </row>
    <row r="799" spans="1:11" ht="15">
      <c r="A799" s="562">
        <f t="shared" si="105"/>
        <v>60500</v>
      </c>
      <c r="B799" s="277">
        <f>A799*Conversions!B$35</f>
        <v>18440.405030542493</v>
      </c>
      <c r="C799" s="573">
        <f t="shared" si="110"/>
        <v>2.0674932079059025</v>
      </c>
      <c r="D799" s="278">
        <f>C799*Conversions!$B$53</f>
        <v>52.514327204418734</v>
      </c>
      <c r="E799" s="279">
        <f>C799*Conversions!$B$59</f>
        <v>1.0154612534159706</v>
      </c>
      <c r="F799" s="280">
        <f>H799*Conversions!$D$67</f>
        <v>0.07139875565832354</v>
      </c>
      <c r="G799" s="281">
        <f t="shared" si="107"/>
        <v>0.7001334478931222</v>
      </c>
      <c r="H799" s="282">
        <f>C799*Conversions!$B$50</f>
        <v>70.01334478931221</v>
      </c>
      <c r="K799">
        <f t="shared" si="111"/>
        <v>1</v>
      </c>
    </row>
    <row r="800" spans="1:11" ht="15">
      <c r="A800" s="562">
        <f t="shared" si="105"/>
        <v>61000</v>
      </c>
      <c r="B800" s="277">
        <f>A800*Conversions!B$35</f>
        <v>18592.805072117226</v>
      </c>
      <c r="C800" s="573">
        <f t="shared" si="110"/>
        <v>2.0184000589856916</v>
      </c>
      <c r="D800" s="278">
        <f>C800*Conversions!$B$53</f>
        <v>51.267361228408355</v>
      </c>
      <c r="E800" s="279">
        <f>C800*Conversions!$B$59</f>
        <v>0.9913488692272225</v>
      </c>
      <c r="F800" s="280">
        <f>H800*Conversions!$D$67</f>
        <v>0.06970337415436101</v>
      </c>
      <c r="G800" s="281">
        <f t="shared" si="107"/>
        <v>0.6835086021669048</v>
      </c>
      <c r="H800" s="282">
        <f>C800*Conversions!$B$50</f>
        <v>68.35086021669048</v>
      </c>
      <c r="K800">
        <f t="shared" si="111"/>
        <v>1</v>
      </c>
    </row>
    <row r="801" spans="1:11" ht="15">
      <c r="A801" s="562">
        <f t="shared" si="105"/>
        <v>61500</v>
      </c>
      <c r="B801" s="277">
        <f>A801*Conversions!B$35</f>
        <v>18745.205113691958</v>
      </c>
      <c r="C801" s="573">
        <f t="shared" si="110"/>
        <v>1.9704726392981982</v>
      </c>
      <c r="D801" s="278">
        <f>C801*Conversions!$B$53</f>
        <v>50.050004774753155</v>
      </c>
      <c r="E801" s="279">
        <f>C801*Conversions!$B$59</f>
        <v>0.9678090396970689</v>
      </c>
      <c r="F801" s="280">
        <f>H801*Conversions!$D$67</f>
        <v>0.06804824991283216</v>
      </c>
      <c r="G801" s="281">
        <f t="shared" si="107"/>
        <v>0.6672785176055084</v>
      </c>
      <c r="H801" s="282">
        <f>C801*Conversions!$B$50</f>
        <v>66.72785176055083</v>
      </c>
      <c r="K801">
        <f t="shared" si="111"/>
        <v>1</v>
      </c>
    </row>
    <row r="802" spans="1:11" ht="15">
      <c r="A802" s="562">
        <f t="shared" si="105"/>
        <v>62000</v>
      </c>
      <c r="B802" s="277">
        <f>A802*Conversions!B$35</f>
        <v>18897.60515526669</v>
      </c>
      <c r="C802" s="573">
        <f t="shared" si="110"/>
        <v>1.9236832683080758</v>
      </c>
      <c r="D802" s="278">
        <f>C802*Conversions!$B$53</f>
        <v>48.861554757859054</v>
      </c>
      <c r="E802" s="279">
        <f>C802*Conversions!$B$59</f>
        <v>0.9448281693703902</v>
      </c>
      <c r="F802" s="280">
        <f>H802*Conversions!$D$67</f>
        <v>0.06643242701486285</v>
      </c>
      <c r="G802" s="281">
        <f t="shared" si="107"/>
        <v>0.6514338205052721</v>
      </c>
      <c r="H802" s="282">
        <f>C802*Conversions!$B$50</f>
        <v>65.14338205052721</v>
      </c>
      <c r="K802">
        <f t="shared" si="111"/>
        <v>1</v>
      </c>
    </row>
    <row r="803" spans="1:11" ht="15">
      <c r="A803" s="562">
        <f t="shared" si="105"/>
        <v>62500</v>
      </c>
      <c r="B803" s="277">
        <f>A803*Conversions!B$35</f>
        <v>19050.00519684142</v>
      </c>
      <c r="C803" s="573">
        <f t="shared" si="110"/>
        <v>1.8780049227612863</v>
      </c>
      <c r="D803" s="278">
        <f>C803*Conversions!$B$53</f>
        <v>47.70132478707707</v>
      </c>
      <c r="E803" s="279">
        <f>C803*Conversions!$B$59</f>
        <v>0.9223929856195849</v>
      </c>
      <c r="F803" s="280">
        <f>H803*Conversions!$D$67</f>
        <v>0.06485497224011413</v>
      </c>
      <c r="G803" s="281">
        <f t="shared" si="107"/>
        <v>0.6359653597434979</v>
      </c>
      <c r="H803" s="282">
        <f>C803*Conversions!$B$50</f>
        <v>63.59653597434979</v>
      </c>
      <c r="K803">
        <f t="shared" si="111"/>
        <v>1</v>
      </c>
    </row>
    <row r="804" spans="1:11" ht="15">
      <c r="A804" s="562">
        <f t="shared" si="105"/>
        <v>63000</v>
      </c>
      <c r="B804" s="277">
        <f>A804*Conversions!B$35</f>
        <v>19202.40523841615</v>
      </c>
      <c r="C804" s="573">
        <f t="shared" si="110"/>
        <v>1.8334112210777904</v>
      </c>
      <c r="D804" s="278">
        <f>C804*Conversions!$B$53</f>
        <v>46.56864477027775</v>
      </c>
      <c r="E804" s="279">
        <f>C804*Conversions!$B$59</f>
        <v>0.9004905309789497</v>
      </c>
      <c r="F804" s="280">
        <f>H804*Conversions!$D$67</f>
        <v>0.06331497452780001</v>
      </c>
      <c r="G804" s="281">
        <f t="shared" si="107"/>
        <v>0.6208642014932095</v>
      </c>
      <c r="H804" s="282">
        <f>C804*Conversions!$B$50</f>
        <v>62.08642014932096</v>
      </c>
      <c r="K804">
        <f t="shared" si="111"/>
        <v>1</v>
      </c>
    </row>
    <row r="805" spans="1:11" ht="15">
      <c r="A805" s="562">
        <f t="shared" si="105"/>
        <v>63500</v>
      </c>
      <c r="B805" s="277">
        <f>A805*Conversions!B$35</f>
        <v>19354.805279990884</v>
      </c>
      <c r="C805" s="573">
        <f t="shared" si="110"/>
        <v>1.7898764081148377</v>
      </c>
      <c r="D805" s="278">
        <f>C805*Conversions!$B$53</f>
        <v>45.46286052683867</v>
      </c>
      <c r="E805" s="279">
        <f>C805*Conversions!$B$59</f>
        <v>0.8791081556610802</v>
      </c>
      <c r="F805" s="280">
        <f>H805*Conversions!$D$67</f>
        <v>0.061811544450503166</v>
      </c>
      <c r="G805" s="281">
        <f t="shared" si="107"/>
        <v>0.6061216240634115</v>
      </c>
      <c r="H805" s="282">
        <f>C805*Conversions!$B$50</f>
        <v>60.612162406341156</v>
      </c>
      <c r="K805">
        <f t="shared" si="111"/>
        <v>1</v>
      </c>
    </row>
    <row r="806" spans="1:11" ht="15">
      <c r="A806" s="562">
        <f t="shared" si="105"/>
        <v>64000</v>
      </c>
      <c r="B806" s="277">
        <f>A806*Conversions!B$35</f>
        <v>19507.205321565612</v>
      </c>
      <c r="C806" s="573">
        <f t="shared" si="110"/>
        <v>1.747375340292054</v>
      </c>
      <c r="D806" s="278">
        <f>C806*Conversions!$B$53</f>
        <v>44.38333340982168</v>
      </c>
      <c r="E806" s="279">
        <f>C806*Conversions!$B$59</f>
        <v>0.8582335102509729</v>
      </c>
      <c r="F806" s="280">
        <f>H806*Conversions!$D$67</f>
        <v>0.0603438137004852</v>
      </c>
      <c r="G806" s="281">
        <f t="shared" si="107"/>
        <v>0.591729112861866</v>
      </c>
      <c r="H806" s="282">
        <f>C806*Conversions!$B$50</f>
        <v>59.172911286186604</v>
      </c>
      <c r="K806">
        <f t="shared" si="111"/>
        <v>1</v>
      </c>
    </row>
    <row r="807" spans="1:11" ht="15">
      <c r="A807" s="562">
        <f t="shared" si="105"/>
        <v>64500</v>
      </c>
      <c r="B807" s="277">
        <f>A807*Conversions!B$35</f>
        <v>19659.605363140345</v>
      </c>
      <c r="C807" s="573">
        <f t="shared" si="110"/>
        <v>1.7058834710697361</v>
      </c>
      <c r="D807" s="278">
        <f>C807*Conversions!$B$53</f>
        <v>43.32943993712162</v>
      </c>
      <c r="E807" s="279">
        <f>C807*Conversions!$B$59</f>
        <v>0.8378545385736043</v>
      </c>
      <c r="F807" s="280">
        <f>H807*Conversions!$D$67</f>
        <v>0.05891093458819444</v>
      </c>
      <c r="G807" s="281">
        <f t="shared" si="107"/>
        <v>0.57767835547748</v>
      </c>
      <c r="H807" s="282">
        <f>C807*Conversions!$B$50</f>
        <v>57.767835547748</v>
      </c>
      <c r="K807">
        <f t="shared" si="111"/>
        <v>1</v>
      </c>
    </row>
    <row r="808" spans="1:11" ht="15">
      <c r="A808" s="562">
        <f aca="true" t="shared" si="112" ref="A808:A871">A807+500</f>
        <v>65000</v>
      </c>
      <c r="B808" s="277">
        <f>A808*Conversions!B$35</f>
        <v>19812.005404715077</v>
      </c>
      <c r="C808" s="573">
        <f t="shared" si="110"/>
        <v>1.6653768367719732</v>
      </c>
      <c r="D808" s="278">
        <f>C808*Conversions!$B$53</f>
        <v>42.300571431373534</v>
      </c>
      <c r="E808" s="279">
        <f>C808*Conversions!$B$59</f>
        <v>0.8179594707308756</v>
      </c>
      <c r="F808" s="280">
        <f>H808*Conversions!$D$67</f>
        <v>0.057512079552681956</v>
      </c>
      <c r="G808" s="281">
        <f aca="true" t="shared" si="113" ref="G808:G871">H808/100</f>
        <v>0.5639612368794636</v>
      </c>
      <c r="H808" s="282">
        <f>C808*Conversions!$B$50</f>
        <v>56.396123687946364</v>
      </c>
      <c r="K808">
        <f t="shared" si="111"/>
        <v>1</v>
      </c>
    </row>
    <row r="809" spans="1:11" ht="15">
      <c r="A809" s="566">
        <f t="shared" si="112"/>
        <v>65500</v>
      </c>
      <c r="B809" s="567">
        <f>A809*Conversions!B$35</f>
        <v>19964.40544628981</v>
      </c>
      <c r="C809" s="568">
        <f t="shared" si="110"/>
        <v>1.625832042746397</v>
      </c>
      <c r="D809" s="646">
        <f>C809*Conversions!$B$53</f>
        <v>41.29613366841041</v>
      </c>
      <c r="E809" s="647">
        <f>C809*Conversions!$B$59</f>
        <v>0.798536816303894</v>
      </c>
      <c r="F809" s="648">
        <f>H809*Conversions!$D$67</f>
        <v>0.05614644068364275</v>
      </c>
      <c r="G809" s="649">
        <f t="shared" si="113"/>
        <v>0.5505698347304849</v>
      </c>
      <c r="H809" s="650">
        <f>C809*Conversions!$B$50</f>
        <v>55.05698347304849</v>
      </c>
      <c r="I809" s="578"/>
      <c r="J809" s="651"/>
      <c r="K809" s="652">
        <f t="shared" si="111"/>
        <v>1</v>
      </c>
    </row>
    <row r="810" spans="1:12" ht="15">
      <c r="A810" s="572">
        <f t="shared" si="112"/>
        <v>66000</v>
      </c>
      <c r="B810" s="343">
        <f>A810*Conversions!B$35</f>
        <v>20116.805487864538</v>
      </c>
      <c r="C810" s="573">
        <f>C$20*((D$20/(D$20+(E$20*(A810-B$20))))^((G$18*H$18)/(F$18*E$20)))</f>
        <v>1.5872375595478359</v>
      </c>
      <c r="D810" s="573">
        <f>C810*Conversions!$B$53</f>
        <v>40.31583380032644</v>
      </c>
      <c r="E810" s="380">
        <f>C810*Conversions!$B$59</f>
        <v>0.7795809125389437</v>
      </c>
      <c r="F810" s="655">
        <f>H810*Conversions!$D$67</f>
        <v>0.05481361982352278</v>
      </c>
      <c r="G810" s="656">
        <f t="shared" si="113"/>
        <v>0.5375002447129047</v>
      </c>
      <c r="H810" s="574">
        <f>C810*Conversions!$B$50</f>
        <v>53.75002447129047</v>
      </c>
      <c r="K810" s="657">
        <f>K809+1</f>
        <v>2</v>
      </c>
      <c r="L810" s="420" t="s">
        <v>332</v>
      </c>
    </row>
    <row r="811" spans="1:11" ht="15">
      <c r="A811" s="562">
        <f t="shared" si="112"/>
        <v>66500</v>
      </c>
      <c r="B811" s="277">
        <f>A811*Conversions!B$35</f>
        <v>20269.20552943927</v>
      </c>
      <c r="C811" s="573">
        <f aca="true" t="shared" si="114" ref="C811:C874">C$20*((D$20/(D$20+(E$20*(A811-B$20))))^((G$18*H$18)/(F$18*E$20)))</f>
        <v>1.5495813448869529</v>
      </c>
      <c r="D811" s="278">
        <f>C811*Conversions!$B$53</f>
        <v>39.359365952974045</v>
      </c>
      <c r="E811" s="279">
        <f>C811*Conversions!$B$59</f>
        <v>0.7610858447959297</v>
      </c>
      <c r="F811" s="280">
        <f>H811*Conversions!$D$67</f>
        <v>0.05351320110422117</v>
      </c>
      <c r="G811" s="281">
        <f t="shared" si="113"/>
        <v>0.5247483888401441</v>
      </c>
      <c r="H811" s="282">
        <f>C811*Conversions!$B$50</f>
        <v>52.47483888401441</v>
      </c>
      <c r="J811" s="517">
        <v>0</v>
      </c>
      <c r="K811">
        <f aca="true" t="shared" si="115" ref="K811:K819">K810</f>
        <v>2</v>
      </c>
    </row>
    <row r="812" spans="1:11" ht="15">
      <c r="A812" s="562">
        <f t="shared" si="112"/>
        <v>67000</v>
      </c>
      <c r="B812" s="277">
        <f>A812*Conversions!B$35</f>
        <v>20421.605571014003</v>
      </c>
      <c r="C812" s="573">
        <f t="shared" si="114"/>
        <v>1.5128440110179433</v>
      </c>
      <c r="D812" s="278">
        <f>C812*Conversions!$B$53</f>
        <v>38.426237677612406</v>
      </c>
      <c r="E812" s="279">
        <f>C812*Conversions!$B$59</f>
        <v>0.7430420906713051</v>
      </c>
      <c r="F812" s="280">
        <f>H812*Conversions!$D$67</f>
        <v>0.05224451498983804</v>
      </c>
      <c r="G812" s="281">
        <f t="shared" si="113"/>
        <v>0.5123077016689576</v>
      </c>
      <c r="H812" s="282">
        <f>C812*Conversions!$B$50</f>
        <v>51.23077016689575</v>
      </c>
      <c r="J812" s="517">
        <v>36089</v>
      </c>
      <c r="K812">
        <f t="shared" si="115"/>
        <v>2</v>
      </c>
    </row>
    <row r="813" spans="1:11" ht="15">
      <c r="A813" s="562">
        <f t="shared" si="112"/>
        <v>67500</v>
      </c>
      <c r="B813" s="277">
        <f>A813*Conversions!B$35</f>
        <v>20574.005612588735</v>
      </c>
      <c r="C813" s="573">
        <f t="shared" si="114"/>
        <v>1.477002513918141</v>
      </c>
      <c r="D813" s="278">
        <f>C813*Conversions!$B$53</f>
        <v>37.51586365606887</v>
      </c>
      <c r="E813" s="279">
        <f>C813*Conversions!$B$59</f>
        <v>0.7254383319599843</v>
      </c>
      <c r="F813" s="280">
        <f>H813*Conversions!$D$67</f>
        <v>0.051006765678705226</v>
      </c>
      <c r="G813" s="281">
        <f t="shared" si="113"/>
        <v>0.5001703795988393</v>
      </c>
      <c r="H813" s="282">
        <f>C813*Conversions!$B$50</f>
        <v>50.01703795988393</v>
      </c>
      <c r="I813" s="79" t="str">
        <f>CONCATENATE("L",M138,"/F",N138)</f>
        <v>L2/F1</v>
      </c>
      <c r="J813" s="642">
        <v>65617</v>
      </c>
      <c r="K813">
        <f t="shared" si="115"/>
        <v>2</v>
      </c>
    </row>
    <row r="814" spans="1:11" ht="15">
      <c r="A814" s="562">
        <f t="shared" si="112"/>
        <v>68000</v>
      </c>
      <c r="B814" s="277">
        <f>A814*Conversions!B$35</f>
        <v>20726.405654163464</v>
      </c>
      <c r="C814" s="573">
        <f t="shared" si="114"/>
        <v>1.4420344030393233</v>
      </c>
      <c r="D814" s="278">
        <f>C814*Conversions!$B$53</f>
        <v>36.627673644421584</v>
      </c>
      <c r="E814" s="279">
        <f>C814*Conversions!$B$59</f>
        <v>0.7082635419452888</v>
      </c>
      <c r="F814" s="280">
        <f>H814*Conversions!$D$67</f>
        <v>0.04979917786418531</v>
      </c>
      <c r="G814" s="281">
        <f t="shared" si="113"/>
        <v>0.4883288200027654</v>
      </c>
      <c r="H814" s="282">
        <f>C814*Conversions!$B$50</f>
        <v>48.83288200027654</v>
      </c>
      <c r="J814" s="642">
        <v>104987</v>
      </c>
      <c r="K814">
        <f t="shared" si="115"/>
        <v>2</v>
      </c>
    </row>
    <row r="815" spans="1:11" ht="15">
      <c r="A815" s="562">
        <f t="shared" si="112"/>
        <v>68500</v>
      </c>
      <c r="B815" s="277">
        <f>A815*Conversions!B$35</f>
        <v>20878.805695738196</v>
      </c>
      <c r="C815" s="573">
        <f t="shared" si="114"/>
        <v>1.4079178056230204</v>
      </c>
      <c r="D815" s="278">
        <f>C815*Conversions!$B$53</f>
        <v>35.76111207460834</v>
      </c>
      <c r="E815" s="279">
        <f>C815*Conversions!$B$59</f>
        <v>0.6915069776953212</v>
      </c>
      <c r="F815" s="280">
        <f>H815*Conversions!$D$67</f>
        <v>0.04862099619301685</v>
      </c>
      <c r="G815" s="281">
        <f t="shared" si="113"/>
        <v>0.47677561591574874</v>
      </c>
      <c r="H815" s="282">
        <f>C815*Conversions!$B$50</f>
        <v>47.67756159157487</v>
      </c>
      <c r="J815" s="517">
        <v>154199</v>
      </c>
      <c r="K815">
        <f t="shared" si="115"/>
        <v>2</v>
      </c>
    </row>
    <row r="816" spans="1:11" ht="15">
      <c r="A816" s="562">
        <f t="shared" si="112"/>
        <v>69000</v>
      </c>
      <c r="B816" s="277">
        <f>A816*Conversions!B$35</f>
        <v>21031.20573731293</v>
      </c>
      <c r="C816" s="573">
        <f t="shared" si="114"/>
        <v>1.3746314114408928</v>
      </c>
      <c r="D816" s="278">
        <f>C816*Conversions!$B$53</f>
        <v>34.91563766683217</v>
      </c>
      <c r="E816" s="279">
        <f>C816*Conversions!$B$59</f>
        <v>0.6751581725681125</v>
      </c>
      <c r="F816" s="280">
        <f>H816*Conversions!$D$67</f>
        <v>0.047471484738339065</v>
      </c>
      <c r="G816" s="281">
        <f t="shared" si="113"/>
        <v>0.4655035508673381</v>
      </c>
      <c r="H816" s="282">
        <f>C816*Conversions!$B$50</f>
        <v>46.55035508673381</v>
      </c>
      <c r="J816" s="517">
        <v>167323</v>
      </c>
      <c r="K816">
        <f t="shared" si="115"/>
        <v>2</v>
      </c>
    </row>
    <row r="817" spans="1:11" ht="15">
      <c r="A817" s="562">
        <f t="shared" si="112"/>
        <v>69500</v>
      </c>
      <c r="B817" s="277">
        <f>A817*Conversions!B$35</f>
        <v>21183.60577888766</v>
      </c>
      <c r="C817" s="573">
        <f t="shared" si="114"/>
        <v>1.3421544579484537</v>
      </c>
      <c r="D817" s="278">
        <f>C817*Conversions!$B$53</f>
        <v>34.09072305246587</v>
      </c>
      <c r="E817" s="279">
        <f>C817*Conversions!$B$59</f>
        <v>0.6592069289197873</v>
      </c>
      <c r="F817" s="280">
        <f>H817*Conversions!$D$67</f>
        <v>0.046349926486990774</v>
      </c>
      <c r="G817" s="281">
        <f t="shared" si="113"/>
        <v>0.4545055938540926</v>
      </c>
      <c r="H817" s="282">
        <f>C817*Conversions!$B$50</f>
        <v>45.450559385409264</v>
      </c>
      <c r="J817" s="506">
        <v>232940</v>
      </c>
      <c r="K817">
        <f t="shared" si="115"/>
        <v>2</v>
      </c>
    </row>
    <row r="818" spans="1:11" ht="15">
      <c r="A818" s="562">
        <f t="shared" si="112"/>
        <v>70000</v>
      </c>
      <c r="B818" s="277">
        <f>A818*Conversions!B$35</f>
        <v>21336.00582046239</v>
      </c>
      <c r="C818" s="573">
        <f t="shared" si="114"/>
        <v>1.3104667158405345</v>
      </c>
      <c r="D818" s="278">
        <f>C818*Conversions!$B$53</f>
        <v>33.28585440716087</v>
      </c>
      <c r="E818" s="279">
        <f>C818*Conversions!$B$59</f>
        <v>0.6436433110100476</v>
      </c>
      <c r="F818" s="280">
        <f>H818*Conversions!$D$67</f>
        <v>0.04525562284068334</v>
      </c>
      <c r="G818" s="281">
        <f t="shared" si="113"/>
        <v>0.44377489444810203</v>
      </c>
      <c r="H818" s="282">
        <f>C818*Conversions!$B$50</f>
        <v>44.3774894448102</v>
      </c>
      <c r="J818" s="535">
        <v>280001</v>
      </c>
      <c r="K818">
        <f t="shared" si="115"/>
        <v>2</v>
      </c>
    </row>
    <row r="819" spans="1:11" ht="15">
      <c r="A819" s="562">
        <f t="shared" si="112"/>
        <v>70500</v>
      </c>
      <c r="B819" s="277">
        <f>A819*Conversions!B$35</f>
        <v>21488.40586203712</v>
      </c>
      <c r="C819" s="573">
        <f t="shared" si="114"/>
        <v>1.279548474997454</v>
      </c>
      <c r="D819" s="278">
        <f>C819*Conversions!$B$53</f>
        <v>32.50053109387991</v>
      </c>
      <c r="E819" s="279">
        <f>C819*Conversions!$B$59</f>
        <v>0.6284576380995514</v>
      </c>
      <c r="F819" s="280">
        <f>H819*Conversions!$D$67</f>
        <v>0.044187893130665935</v>
      </c>
      <c r="G819" s="281">
        <f t="shared" si="113"/>
        <v>0.43330477803781337</v>
      </c>
      <c r="H819" s="282">
        <f>C819*Conversions!$B$50</f>
        <v>43.330477803781335</v>
      </c>
      <c r="K819">
        <f t="shared" si="115"/>
        <v>2</v>
      </c>
    </row>
    <row r="820" spans="1:11" ht="15">
      <c r="A820" s="562">
        <f t="shared" si="112"/>
        <v>71000</v>
      </c>
      <c r="B820" s="277">
        <f>A820*Conversions!B$35</f>
        <v>21640.805903611854</v>
      </c>
      <c r="C820" s="573">
        <f t="shared" si="114"/>
        <v>1.2493805308110366</v>
      </c>
      <c r="D820" s="278">
        <f>C820*Conversions!$B$53</f>
        <v>31.734265315577883</v>
      </c>
      <c r="E820" s="279">
        <f>C820*Conversions!$B$59</f>
        <v>0.6136404777338585</v>
      </c>
      <c r="F820" s="280">
        <f>H820*Conversions!$D$67</f>
        <v>0.04314607414550872</v>
      </c>
      <c r="G820" s="281">
        <f t="shared" si="113"/>
        <v>0.4230887411974906</v>
      </c>
      <c r="H820" s="282">
        <f>C820*Conversions!$B$50</f>
        <v>42.30887411974906</v>
      </c>
      <c r="K820">
        <f t="shared" si="111"/>
        <v>2</v>
      </c>
    </row>
    <row r="821" spans="1:11" ht="15">
      <c r="A821" s="562">
        <f t="shared" si="112"/>
        <v>71500</v>
      </c>
      <c r="B821" s="277">
        <f>A821*Conversions!B$35</f>
        <v>21793.205945186586</v>
      </c>
      <c r="C821" s="573">
        <f t="shared" si="114"/>
        <v>1.219944170879927</v>
      </c>
      <c r="D821" s="278">
        <f>C821*Conversions!$B$53</f>
        <v>30.986581777262877</v>
      </c>
      <c r="E821" s="279">
        <f>C821*Conversions!$B$59</f>
        <v>0.5991826392087568</v>
      </c>
      <c r="F821" s="280">
        <f>H821*Conversions!$D$67</f>
        <v>0.042129519671639123</v>
      </c>
      <c r="G821" s="281">
        <f t="shared" si="113"/>
        <v>0.4131204471817317</v>
      </c>
      <c r="H821" s="282">
        <f>C821*Conversions!$B$50</f>
        <v>41.31204471817317</v>
      </c>
      <c r="K821">
        <f t="shared" si="111"/>
        <v>2</v>
      </c>
    </row>
    <row r="822" spans="1:11" ht="15">
      <c r="A822" s="562">
        <f t="shared" si="112"/>
        <v>72000</v>
      </c>
      <c r="B822" s="277">
        <f>A822*Conversions!B$35</f>
        <v>21945.605986761315</v>
      </c>
      <c r="C822" s="573">
        <f t="shared" si="114"/>
        <v>1.191221162064011</v>
      </c>
      <c r="D822" s="278">
        <f>C822*Conversions!$B$53</f>
        <v>30.25701735717842</v>
      </c>
      <c r="E822" s="279">
        <f>C822*Conversions!$B$59</f>
        <v>0.5850751672119658</v>
      </c>
      <c r="F822" s="280">
        <f>H822*Conversions!$D$67</f>
        <v>0.04113760004627957</v>
      </c>
      <c r="G822" s="281">
        <f t="shared" si="113"/>
        <v>0.4033937215415926</v>
      </c>
      <c r="H822" s="282">
        <f>C822*Conversions!$B$50</f>
        <v>40.33937215415926</v>
      </c>
      <c r="K822">
        <f t="shared" si="111"/>
        <v>2</v>
      </c>
    </row>
    <row r="823" spans="1:11" ht="15">
      <c r="A823" s="562">
        <f t="shared" si="112"/>
        <v>72500</v>
      </c>
      <c r="B823" s="277">
        <f>A823*Conversions!B$35</f>
        <v>22098.006028336047</v>
      </c>
      <c r="C823" s="573">
        <f t="shared" si="114"/>
        <v>1.1631937378879977</v>
      </c>
      <c r="D823" s="278">
        <f>C823*Conversions!$B$53</f>
        <v>29.545120786854508</v>
      </c>
      <c r="E823" s="279">
        <f>C823*Conversions!$B$59</f>
        <v>0.571309335636334</v>
      </c>
      <c r="F823" s="280">
        <f>H823*Conversions!$D$67</f>
        <v>0.04016970172244312</v>
      </c>
      <c r="G823" s="281">
        <f t="shared" si="113"/>
        <v>0.39390254785895173</v>
      </c>
      <c r="H823" s="282">
        <f>C823*Conversions!$B$50</f>
        <v>39.39025478589517</v>
      </c>
      <c r="K823">
        <f t="shared" si="111"/>
        <v>2</v>
      </c>
    </row>
    <row r="824" spans="1:11" ht="15">
      <c r="A824" s="562">
        <f t="shared" si="112"/>
        <v>73000</v>
      </c>
      <c r="B824" s="277">
        <f>A824*Conversions!B$35</f>
        <v>22250.40606991078</v>
      </c>
      <c r="C824" s="573">
        <f t="shared" si="114"/>
        <v>1.135844586284524</v>
      </c>
      <c r="D824" s="278">
        <f>C824*Conversions!$B$53</f>
        <v>28.85045233978242</v>
      </c>
      <c r="E824" s="279">
        <f>C824*Conversions!$B$59</f>
        <v>0.5578766415597927</v>
      </c>
      <c r="F824" s="280">
        <f>H824*Conversions!$D$67</f>
        <v>0.03922522684565419</v>
      </c>
      <c r="G824" s="281">
        <f t="shared" si="113"/>
        <v>0.38464106359584915</v>
      </c>
      <c r="H824" s="282">
        <f>C824*Conversions!$B$50</f>
        <v>38.46410635958492</v>
      </c>
      <c r="K824">
        <f t="shared" si="111"/>
        <v>2</v>
      </c>
    </row>
    <row r="825" spans="1:11" ht="15">
      <c r="A825" s="562">
        <f t="shared" si="112"/>
        <v>73500</v>
      </c>
      <c r="B825" s="277">
        <f>A825*Conversions!B$35</f>
        <v>22402.806111485508</v>
      </c>
      <c r="C825" s="573">
        <f t="shared" si="114"/>
        <v>1.1091568376673708</v>
      </c>
      <c r="D825" s="278">
        <f>C825*Conversions!$B$53</f>
        <v>28.172583528474465</v>
      </c>
      <c r="E825" s="279">
        <f>C825*Conversions!$B$59</f>
        <v>0.5447687993874483</v>
      </c>
      <c r="F825" s="280">
        <f>H825*Conversions!$D$67</f>
        <v>0.03830359284206931</v>
      </c>
      <c r="G825" s="281">
        <f t="shared" si="113"/>
        <v>0.3756035560556152</v>
      </c>
      <c r="H825" s="282">
        <f>C825*Conversions!$B$50</f>
        <v>37.56035560556152</v>
      </c>
      <c r="K825">
        <f t="shared" si="111"/>
        <v>2</v>
      </c>
    </row>
    <row r="826" spans="1:11" ht="15">
      <c r="A826" s="562">
        <f t="shared" si="112"/>
        <v>74000</v>
      </c>
      <c r="B826" s="277">
        <f>A826*Conversions!B$35</f>
        <v>22555.20615306024</v>
      </c>
      <c r="C826" s="573">
        <f t="shared" si="114"/>
        <v>1.0831140533257222</v>
      </c>
      <c r="D826" s="278">
        <f>C826*Conversions!$B$53</f>
        <v>27.5110968096781</v>
      </c>
      <c r="E826" s="279">
        <f>C826*Conversions!$B$59</f>
        <v>0.5319777351513544</v>
      </c>
      <c r="F826" s="280">
        <f>H826*Conversions!$D$67</f>
        <v>0.03740423201768472</v>
      </c>
      <c r="G826" s="281">
        <f t="shared" si="113"/>
        <v>0.3667844584527149</v>
      </c>
      <c r="H826" s="282">
        <f>C826*Conversions!$B$50</f>
        <v>36.67844584527149</v>
      </c>
      <c r="K826">
        <f t="shared" si="111"/>
        <v>2</v>
      </c>
    </row>
    <row r="827" spans="1:11" ht="15">
      <c r="A827" s="562">
        <f t="shared" si="112"/>
        <v>74500</v>
      </c>
      <c r="B827" s="277">
        <f>A827*Conversions!B$35</f>
        <v>22707.606194634973</v>
      </c>
      <c r="C827" s="573">
        <f t="shared" si="114"/>
        <v>1.0577002141305931</v>
      </c>
      <c r="D827" s="278">
        <f>C827*Conversions!$B$53</f>
        <v>26.86558529751925</v>
      </c>
      <c r="E827" s="279">
        <f>C827*Conversions!$B$59</f>
        <v>0.519495580963609</v>
      </c>
      <c r="F827" s="280">
        <f>H827*Conversions!$D$67</f>
        <v>0.03652659116832454</v>
      </c>
      <c r="G827" s="281">
        <f t="shared" si="113"/>
        <v>0.3581783460883077</v>
      </c>
      <c r="H827" s="282">
        <f>C827*Conversions!$B$50</f>
        <v>35.817834608830765</v>
      </c>
      <c r="K827">
        <f t="shared" si="111"/>
        <v>2</v>
      </c>
    </row>
    <row r="828" spans="1:11" ht="15">
      <c r="A828" s="562">
        <f t="shared" si="112"/>
        <v>75000</v>
      </c>
      <c r="B828" s="277">
        <f>A828*Conversions!B$35</f>
        <v>22860.006236209705</v>
      </c>
      <c r="C828" s="573">
        <f t="shared" si="114"/>
        <v>1.0328997095447916</v>
      </c>
      <c r="D828" s="278">
        <f>C828*Conversions!$B$53</f>
        <v>26.235652484355327</v>
      </c>
      <c r="E828" s="279">
        <f>C828*Conversions!$B$59</f>
        <v>0.507314669618534</v>
      </c>
      <c r="F828" s="280">
        <f>H828*Conversions!$D$67</f>
        <v>0.035670131200111005</v>
      </c>
      <c r="G828" s="281">
        <f t="shared" si="113"/>
        <v>0.3497799326285926</v>
      </c>
      <c r="H828" s="282">
        <f>C828*Conversions!$B$50</f>
        <v>34.97799326285926</v>
      </c>
      <c r="K828">
        <f t="shared" si="111"/>
        <v>2</v>
      </c>
    </row>
    <row r="829" spans="1:11" ht="15">
      <c r="A829" s="562">
        <f t="shared" si="112"/>
        <v>75500</v>
      </c>
      <c r="B829" s="277">
        <f>A829*Conversions!B$35</f>
        <v>23012.406277784434</v>
      </c>
      <c r="C829" s="573">
        <f t="shared" si="114"/>
        <v>1.008697326928103</v>
      </c>
      <c r="D829" s="278">
        <f>C829*Conversions!$B$53</f>
        <v>25.62091196912691</v>
      </c>
      <c r="E829" s="279">
        <f>C829*Conversions!$B$59</f>
        <v>0.49542752933985407</v>
      </c>
      <c r="F829" s="280">
        <f>H829*Conversions!$D$67</f>
        <v>0.03483432676013006</v>
      </c>
      <c r="G829" s="281">
        <f t="shared" si="113"/>
        <v>0.34158406648312956</v>
      </c>
      <c r="H829" s="282">
        <f>C829*Conversions!$B$50</f>
        <v>34.158406648312955</v>
      </c>
      <c r="K829">
        <f t="shared" si="111"/>
        <v>2</v>
      </c>
    </row>
    <row r="830" spans="1:11" ht="15">
      <c r="A830" s="562">
        <f t="shared" si="112"/>
        <v>76000</v>
      </c>
      <c r="B830" s="277">
        <f>A830*Conversions!B$35</f>
        <v>23164.806319359166</v>
      </c>
      <c r="C830" s="573">
        <f t="shared" si="114"/>
        <v>0.9850782411295537</v>
      </c>
      <c r="D830" s="278">
        <f>C830*Conversions!$B$53</f>
        <v>25.020987193001258</v>
      </c>
      <c r="E830" s="279">
        <f>C830*Conversions!$B$59</f>
        <v>0.4838268786688769</v>
      </c>
      <c r="F830" s="280">
        <f>H830*Conversions!$D$67</f>
        <v>0.034018665877010794</v>
      </c>
      <c r="G830" s="281">
        <f t="shared" si="113"/>
        <v>0.3335857272803753</v>
      </c>
      <c r="H830" s="282">
        <f>C830*Conversions!$B$50</f>
        <v>33.35857272803753</v>
      </c>
      <c r="K830">
        <f t="shared" si="111"/>
        <v>2</v>
      </c>
    </row>
    <row r="831" spans="1:11" ht="15">
      <c r="A831" s="562">
        <f t="shared" si="112"/>
        <v>76500</v>
      </c>
      <c r="B831" s="277">
        <f>A831*Conversions!B$35</f>
        <v>23317.2063609339</v>
      </c>
      <c r="C831" s="573">
        <f t="shared" si="114"/>
        <v>0.962028004358811</v>
      </c>
      <c r="D831" s="278">
        <f>C831*Conversions!$B$53</f>
        <v>24.435511182105845</v>
      </c>
      <c r="E831" s="279">
        <f>C831*Conversions!$B$59</f>
        <v>0.47250562148977304</v>
      </c>
      <c r="F831" s="280">
        <f>H831*Conversions!$D$67</f>
        <v>0.033222649611144704</v>
      </c>
      <c r="G831" s="281">
        <f t="shared" si="113"/>
        <v>0.3257800224377467</v>
      </c>
      <c r="H831" s="282">
        <f>C831*Conversions!$B$50</f>
        <v>32.57800224377467</v>
      </c>
      <c r="K831">
        <f t="shared" si="111"/>
        <v>2</v>
      </c>
    </row>
    <row r="832" spans="1:11" ht="15">
      <c r="A832" s="562">
        <f t="shared" si="112"/>
        <v>77000</v>
      </c>
      <c r="B832" s="277">
        <f>A832*Conversions!B$35</f>
        <v>23469.60640250863</v>
      </c>
      <c r="C832" s="573">
        <f t="shared" si="114"/>
        <v>0.9395325363291473</v>
      </c>
      <c r="D832" s="278">
        <f>C832*Conversions!$B$53</f>
        <v>23.86412629715968</v>
      </c>
      <c r="E832" s="279">
        <f>C832*Conversions!$B$59</f>
        <v>0.461456842188235</v>
      </c>
      <c r="F832" s="280">
        <f>H832*Conversions!$D$67</f>
        <v>0.03244579171428303</v>
      </c>
      <c r="G832" s="281">
        <f t="shared" si="113"/>
        <v>0.3181621838236453</v>
      </c>
      <c r="H832" s="282">
        <f>C832*Conversions!$B$50</f>
        <v>31.816218382364532</v>
      </c>
      <c r="K832">
        <f t="shared" si="111"/>
        <v>2</v>
      </c>
    </row>
    <row r="833" spans="1:11" ht="15">
      <c r="A833" s="562">
        <f t="shared" si="112"/>
        <v>77500</v>
      </c>
      <c r="B833" s="277">
        <f>A833*Conversions!B$35</f>
        <v>23622.00644408336</v>
      </c>
      <c r="C833" s="573">
        <f t="shared" si="114"/>
        <v>0.9175781146643792</v>
      </c>
      <c r="D833" s="278">
        <f>C833*Conversions!$B$53</f>
        <v>23.30648398980953</v>
      </c>
      <c r="E833" s="279">
        <f>C833*Conversions!$B$59</f>
        <v>0.45067380093979054</v>
      </c>
      <c r="F833" s="280">
        <f>H833*Conversions!$D$67</f>
        <v>0.03168761829825025</v>
      </c>
      <c r="G833" s="281">
        <f t="shared" si="113"/>
        <v>0.31072756450887506</v>
      </c>
      <c r="H833" s="282">
        <f>C833*Conversions!$B$50</f>
        <v>31.072756450887507</v>
      </c>
      <c r="K833">
        <f t="shared" si="111"/>
        <v>2</v>
      </c>
    </row>
    <row r="834" spans="1:11" ht="15">
      <c r="A834" s="562">
        <f t="shared" si="112"/>
        <v>78000</v>
      </c>
      <c r="B834" s="277">
        <f>A834*Conversions!B$35</f>
        <v>23774.40648565809</v>
      </c>
      <c r="C834" s="573">
        <f t="shared" si="114"/>
        <v>0.8961513655626657</v>
      </c>
      <c r="D834" s="278">
        <f>C834*Conversions!$B$53</f>
        <v>22.762244565490423</v>
      </c>
      <c r="E834" s="279">
        <f>C834*Conversions!$B$59</f>
        <v>0.4401499291242727</v>
      </c>
      <c r="F834" s="280">
        <f>H834*Conversions!$D$67</f>
        <v>0.030947667512527973</v>
      </c>
      <c r="G834" s="281">
        <f t="shared" si="113"/>
        <v>0.30347163560504176</v>
      </c>
      <c r="H834" s="282">
        <f>C834*Conversions!$B$50</f>
        <v>30.347163560504175</v>
      </c>
      <c r="K834">
        <f t="shared" si="111"/>
        <v>2</v>
      </c>
    </row>
    <row r="835" spans="1:11" ht="15">
      <c r="A835" s="562">
        <f t="shared" si="112"/>
        <v>78500</v>
      </c>
      <c r="B835" s="277">
        <f>A835*Conversions!B$35</f>
        <v>23926.806527232824</v>
      </c>
      <c r="C835" s="573">
        <f t="shared" si="114"/>
        <v>0.8752392547099954</v>
      </c>
      <c r="D835" s="278">
        <f>C835*Conversions!$B$53</f>
        <v>22.231076952628218</v>
      </c>
      <c r="E835" s="279">
        <f>C835*Conversions!$B$59</f>
        <v>0.42987882486292667</v>
      </c>
      <c r="F835" s="280">
        <f>H835*Conversions!$D$67</f>
        <v>0.030225489230461502</v>
      </c>
      <c r="G835" s="281">
        <f t="shared" si="113"/>
        <v>0.29638998318750714</v>
      </c>
      <c r="H835" s="282">
        <f>C835*Conversions!$B$50</f>
        <v>29.638998318750712</v>
      </c>
      <c r="K835">
        <f t="shared" si="111"/>
        <v>2</v>
      </c>
    </row>
    <row r="836" spans="1:11" ht="15">
      <c r="A836" s="562">
        <f t="shared" si="112"/>
        <v>79000</v>
      </c>
      <c r="B836" s="277">
        <f>A836*Conversions!B$35</f>
        <v>24079.206568807556</v>
      </c>
      <c r="C836" s="573">
        <f t="shared" si="114"/>
        <v>0.8548290784366207</v>
      </c>
      <c r="D836" s="278">
        <f>C836*Conversions!$B$53</f>
        <v>21.71265847801302</v>
      </c>
      <c r="E836" s="279">
        <f>C836*Conversions!$B$59</f>
        <v>0.41985424867484117</v>
      </c>
      <c r="F836" s="280">
        <f>H836*Conversions!$D$67</f>
        <v>0.02952064474385639</v>
      </c>
      <c r="G836" s="281">
        <f t="shared" si="113"/>
        <v>0.28947830530061436</v>
      </c>
      <c r="H836" s="282">
        <f>C836*Conversions!$B$50</f>
        <v>28.947830530061434</v>
      </c>
      <c r="K836">
        <f t="shared" si="111"/>
        <v>2</v>
      </c>
    </row>
    <row r="837" spans="1:11" ht="15">
      <c r="A837" s="562">
        <f t="shared" si="112"/>
        <v>79500</v>
      </c>
      <c r="B837" s="277">
        <f>A837*Conversions!B$35</f>
        <v>24231.606610382285</v>
      </c>
      <c r="C837" s="573">
        <f t="shared" si="114"/>
        <v>0.8349084551097309</v>
      </c>
      <c r="D837" s="278">
        <f>C837*Conversions!$B$53</f>
        <v>21.206674648173088</v>
      </c>
      <c r="E837" s="279">
        <f>C837*Conversions!$B$59</f>
        <v>0.4100701192494101</v>
      </c>
      <c r="F837" s="280">
        <f>H837*Conversions!$D$67</f>
        <v>0.028832706465733233</v>
      </c>
      <c r="G837" s="281">
        <f t="shared" si="113"/>
        <v>0.2827324090429129</v>
      </c>
      <c r="H837" s="282">
        <f>C837*Conversions!$B$50</f>
        <v>28.273240904291292</v>
      </c>
      <c r="K837">
        <f t="shared" si="111"/>
        <v>2</v>
      </c>
    </row>
    <row r="838" spans="1:11" ht="15">
      <c r="A838" s="562">
        <f t="shared" si="112"/>
        <v>80000</v>
      </c>
      <c r="B838" s="277">
        <f>A838*Conversions!B$35</f>
        <v>24384.006651957017</v>
      </c>
      <c r="C838" s="573">
        <f t="shared" si="114"/>
        <v>0.8154653167558845</v>
      </c>
      <c r="D838" s="278">
        <f>C838*Conversions!$B$53</f>
        <v>20.712818936584632</v>
      </c>
      <c r="E838" s="279">
        <f>C838*Conversions!$B$59</f>
        <v>0.40052050933164174</v>
      </c>
      <c r="F838" s="280">
        <f>H838*Conversions!$D$67</f>
        <v>0.02816125764101698</v>
      </c>
      <c r="G838" s="281">
        <f t="shared" si="113"/>
        <v>0.2761482077301892</v>
      </c>
      <c r="H838" s="282">
        <f>C838*Conversions!$B$50</f>
        <v>27.61482077301892</v>
      </c>
      <c r="K838">
        <f t="shared" si="111"/>
        <v>2</v>
      </c>
    </row>
    <row r="839" spans="1:11" ht="15">
      <c r="A839" s="562">
        <f t="shared" si="112"/>
        <v>80500</v>
      </c>
      <c r="B839" s="277">
        <f>A839*Conversions!B$35</f>
        <v>24536.40669353175</v>
      </c>
      <c r="C839" s="573">
        <f t="shared" si="114"/>
        <v>0.7964879009069631</v>
      </c>
      <c r="D839" s="278">
        <f>C839*Conversions!$B$53</f>
        <v>20.230792576559008</v>
      </c>
      <c r="E839" s="279">
        <f>C839*Conversions!$B$59</f>
        <v>0.3911996417172515</v>
      </c>
      <c r="F839" s="280">
        <f>H839*Conversions!$D$67</f>
        <v>0.0275058920649453</v>
      </c>
      <c r="G839" s="281">
        <f t="shared" si="113"/>
        <v>0.26972171813418966</v>
      </c>
      <c r="H839" s="282">
        <f>C839*Conversions!$B$50</f>
        <v>26.972171813418967</v>
      </c>
      <c r="K839">
        <f t="shared" si="111"/>
        <v>2</v>
      </c>
    </row>
    <row r="840" spans="1:11" ht="15">
      <c r="A840" s="562">
        <f t="shared" si="112"/>
        <v>81000</v>
      </c>
      <c r="B840" s="277">
        <f>A840*Conversions!B$35</f>
        <v>24688.806735106482</v>
      </c>
      <c r="C840" s="573">
        <f t="shared" si="114"/>
        <v>0.7779647426634921</v>
      </c>
      <c r="D840" s="278">
        <f>C840*Conversions!$B$53</f>
        <v>19.760304359651098</v>
      </c>
      <c r="E840" s="279">
        <f>C840*Conversions!$B$59</f>
        <v>0.3821018853545165</v>
      </c>
      <c r="F840" s="280">
        <f>H840*Conversions!$D$67</f>
        <v>0.026866213808983533</v>
      </c>
      <c r="G840" s="281">
        <f t="shared" si="113"/>
        <v>0.26344905779495364</v>
      </c>
      <c r="H840" s="282">
        <f>C840*Conversions!$B$50</f>
        <v>26.344905779495363</v>
      </c>
      <c r="K840">
        <f t="shared" si="111"/>
        <v>2</v>
      </c>
    </row>
    <row r="841" spans="1:11" ht="15">
      <c r="A841" s="562">
        <f t="shared" si="112"/>
        <v>81500</v>
      </c>
      <c r="B841" s="277">
        <f>A841*Conversions!B$35</f>
        <v>24841.20677668121</v>
      </c>
      <c r="C841" s="573">
        <f t="shared" si="114"/>
        <v>0.7598846669694087</v>
      </c>
      <c r="D841" s="278">
        <f>C841*Conversions!$B$53</f>
        <v>19.3010704394384</v>
      </c>
      <c r="E841" s="279">
        <f>C841*Conversions!$B$59</f>
        <v>0.37322175154998255</v>
      </c>
      <c r="F841" s="280">
        <f>H841*Conversions!$D$67</f>
        <v>0.026241836954041715</v>
      </c>
      <c r="G841" s="281">
        <f t="shared" si="113"/>
        <v>0.25732644240474944</v>
      </c>
      <c r="H841" s="282">
        <f>C841*Conversions!$B$50</f>
        <v>25.732644240474947</v>
      </c>
      <c r="K841">
        <f t="shared" si="111"/>
        <v>2</v>
      </c>
    </row>
    <row r="842" spans="1:11" ht="15">
      <c r="A842" s="562">
        <f t="shared" si="112"/>
        <v>82000</v>
      </c>
      <c r="B842" s="277">
        <f>A842*Conversions!B$35</f>
        <v>24993.606818255943</v>
      </c>
      <c r="C842" s="573">
        <f t="shared" si="114"/>
        <v>0.7422367810925029</v>
      </c>
      <c r="D842" s="278">
        <f>C842*Conversions!$B$53</f>
        <v>18.852814140524238</v>
      </c>
      <c r="E842" s="279">
        <f>C842*Conversions!$B$59</f>
        <v>0.3645538902751897</v>
      </c>
      <c r="F842" s="280">
        <f>H842*Conversions!$D$67</f>
        <v>0.02563238533079434</v>
      </c>
      <c r="G842" s="281">
        <f t="shared" si="113"/>
        <v>0.2513501832616603</v>
      </c>
      <c r="H842" s="282">
        <f>C842*Conversions!$B$50</f>
        <v>25.13501832616603</v>
      </c>
      <c r="K842">
        <f t="shared" si="111"/>
        <v>2</v>
      </c>
    </row>
    <row r="843" spans="1:11" ht="15">
      <c r="A843" s="562">
        <f t="shared" si="112"/>
        <v>82500</v>
      </c>
      <c r="B843" s="277">
        <f>A843*Conversions!B$35</f>
        <v>25146.006859830675</v>
      </c>
      <c r="C843" s="573">
        <f t="shared" si="114"/>
        <v>0.7250104673049206</v>
      </c>
      <c r="D843" s="278">
        <f>C843*Conversions!$B$53</f>
        <v>18.415265772622533</v>
      </c>
      <c r="E843" s="279">
        <f>C843*Conversions!$B$59</f>
        <v>0.35609308657165883</v>
      </c>
      <c r="F843" s="280">
        <f>H843*Conversions!$D$67</f>
        <v>0.025037492266909035</v>
      </c>
      <c r="G843" s="281">
        <f t="shared" si="113"/>
        <v>0.24551668479091815</v>
      </c>
      <c r="H843" s="282">
        <f>C843*Conversions!$B$50</f>
        <v>24.551668479091816</v>
      </c>
      <c r="K843">
        <f t="shared" si="111"/>
        <v>2</v>
      </c>
    </row>
    <row r="844" spans="1:11" ht="15">
      <c r="A844" s="562">
        <f t="shared" si="112"/>
        <v>83000</v>
      </c>
      <c r="B844" s="277">
        <f>A844*Conversions!B$35</f>
        <v>25298.406901405404</v>
      </c>
      <c r="C844" s="573">
        <f t="shared" si="114"/>
        <v>0.7081953757582655</v>
      </c>
      <c r="D844" s="278">
        <f>C844*Conversions!$B$53</f>
        <v>17.988162449585406</v>
      </c>
      <c r="E844" s="279">
        <f>C844*Conversions!$B$59</f>
        <v>0.3478342570514567</v>
      </c>
      <c r="F844" s="280">
        <f>H844*Conversions!$D$67</f>
        <v>0.02445680034099553</v>
      </c>
      <c r="G844" s="281">
        <f t="shared" si="113"/>
        <v>0.239822442132137</v>
      </c>
      <c r="H844" s="282">
        <f>C844*Conversions!$B$50</f>
        <v>23.9822442132137</v>
      </c>
      <c r="K844">
        <f t="shared" si="111"/>
        <v>2</v>
      </c>
    </row>
    <row r="845" spans="1:11" ht="15">
      <c r="A845" s="562">
        <f t="shared" si="112"/>
        <v>83500</v>
      </c>
      <c r="B845" s="277">
        <f>A845*Conversions!B$35</f>
        <v>25450.806942980136</v>
      </c>
      <c r="C845" s="573">
        <f t="shared" si="114"/>
        <v>0.6917814175479986</v>
      </c>
      <c r="D845" s="278">
        <f>C845*Conversions!$B$53</f>
        <v>17.571247913238913</v>
      </c>
      <c r="E845" s="279">
        <f>C845*Conversions!$B$59</f>
        <v>0.33977244649073557</v>
      </c>
      <c r="F845" s="280">
        <f>H845*Conversions!$D$67</f>
        <v>0.023889961143091807</v>
      </c>
      <c r="G845" s="281">
        <f t="shared" si="113"/>
        <v>0.23426403879064905</v>
      </c>
      <c r="H845" s="282">
        <f>C845*Conversions!$B$50</f>
        <v>23.426403879064907</v>
      </c>
      <c r="K845">
        <f t="shared" si="111"/>
        <v>2</v>
      </c>
    </row>
    <row r="846" spans="1:11" ht="15">
      <c r="A846" s="562">
        <f t="shared" si="112"/>
        <v>84000</v>
      </c>
      <c r="B846" s="277">
        <f>A846*Conversions!B$35</f>
        <v>25603.20698455487</v>
      </c>
      <c r="C846" s="573">
        <f t="shared" si="114"/>
        <v>0.6757587579620118</v>
      </c>
      <c r="D846" s="278">
        <f>C846*Conversions!$B$53</f>
        <v>17.164272361896824</v>
      </c>
      <c r="E846" s="279">
        <f>C846*Conversions!$B$59</f>
        <v>0.3319028245137312</v>
      </c>
      <c r="F846" s="280">
        <f>H846*Conversions!$D$67</f>
        <v>0.023336635041510515</v>
      </c>
      <c r="G846" s="281">
        <f t="shared" si="113"/>
        <v>0.22883814435120997</v>
      </c>
      <c r="H846" s="282">
        <f>C846*Conversions!$B$50</f>
        <v>22.883814435120996</v>
      </c>
      <c r="K846">
        <f t="shared" si="111"/>
        <v>2</v>
      </c>
    </row>
    <row r="847" spans="1:11" ht="15">
      <c r="A847" s="562">
        <f t="shared" si="112"/>
        <v>84500</v>
      </c>
      <c r="B847" s="277">
        <f>A847*Conversions!B$35</f>
        <v>25755.6070261296</v>
      </c>
      <c r="C847" s="573">
        <f t="shared" si="114"/>
        <v>0.6601178099082968</v>
      </c>
      <c r="D847" s="278">
        <f>C847*Conversions!$B$53</f>
        <v>16.766992283423413</v>
      </c>
      <c r="E847" s="279">
        <f>C847*Conversions!$B$59</f>
        <v>0.3242206823647243</v>
      </c>
      <c r="F847" s="280">
        <f>H847*Conversions!$D$67</f>
        <v>0.022796490955870285</v>
      </c>
      <c r="G847" s="281">
        <f t="shared" si="113"/>
        <v>0.22354151225235228</v>
      </c>
      <c r="H847" s="282">
        <f>C847*Conversions!$B$50</f>
        <v>22.354151225235228</v>
      </c>
      <c r="K847">
        <f t="shared" si="111"/>
        <v>2</v>
      </c>
    </row>
    <row r="848" spans="1:11" ht="15">
      <c r="A848" s="562">
        <f t="shared" si="112"/>
        <v>85000</v>
      </c>
      <c r="B848" s="277">
        <f>A848*Conversions!B$35</f>
        <v>25908.00706770433</v>
      </c>
      <c r="C848" s="573">
        <f t="shared" si="114"/>
        <v>0.6448492275169108</v>
      </c>
      <c r="D848" s="278">
        <f>C848*Conversions!$B$53</f>
        <v>16.379170292723376</v>
      </c>
      <c r="E848" s="279">
        <f>C848*Conversions!$B$59</f>
        <v>0.3167214297656088</v>
      </c>
      <c r="F848" s="280">
        <f>H848*Conversions!$D$67</f>
        <v>0.022269206136146143</v>
      </c>
      <c r="G848" s="281">
        <f t="shared" si="113"/>
        <v>0.21837097761976262</v>
      </c>
      <c r="H848" s="282">
        <f>C848*Conversions!$B$50</f>
        <v>21.837097761976263</v>
      </c>
      <c r="K848">
        <f t="shared" si="111"/>
        <v>2</v>
      </c>
    </row>
    <row r="849" spans="1:11" ht="15">
      <c r="A849" s="562">
        <f t="shared" si="112"/>
        <v>85500</v>
      </c>
      <c r="B849" s="277">
        <f>A849*Conversions!B$35</f>
        <v>26060.407109279062</v>
      </c>
      <c r="C849" s="573">
        <f t="shared" si="114"/>
        <v>0.6299438999114737</v>
      </c>
      <c r="D849" s="278">
        <f>C849*Conversions!$B$53</f>
        <v>16.00057497353788</v>
      </c>
      <c r="E849" s="279">
        <f>C849*Conversions!$B$59</f>
        <v>0.3094005918567272</v>
      </c>
      <c r="F849" s="280">
        <f>H849*Conversions!$D$67</f>
        <v>0.0217544659475746</v>
      </c>
      <c r="G849" s="281">
        <f t="shared" si="113"/>
        <v>0.2133234551570692</v>
      </c>
      <c r="H849" s="282">
        <f>C849*Conversions!$B$50</f>
        <v>21.33234551570692</v>
      </c>
      <c r="K849">
        <f t="shared" si="111"/>
        <v>2</v>
      </c>
    </row>
    <row r="850" spans="1:11" ht="15">
      <c r="A850" s="562">
        <f t="shared" si="112"/>
        <v>86000</v>
      </c>
      <c r="B850" s="277">
        <f>A850*Conversions!B$35</f>
        <v>26212.807150853794</v>
      </c>
      <c r="C850" s="573">
        <f t="shared" si="114"/>
        <v>0.6153929451455642</v>
      </c>
      <c r="D850" s="278">
        <f>C850*Conversions!$B$53</f>
        <v>15.630980724429012</v>
      </c>
      <c r="E850" s="279">
        <f>C850*Conversions!$B$59</f>
        <v>0.3022538062186957</v>
      </c>
      <c r="F850" s="280">
        <f>H850*Conversions!$D$67</f>
        <v>0.02125196366125329</v>
      </c>
      <c r="G850" s="281">
        <f t="shared" si="113"/>
        <v>0.2083959370924697</v>
      </c>
      <c r="H850" s="282">
        <f>C850*Conversions!$B$50</f>
        <v>20.83959370924697</v>
      </c>
      <c r="K850">
        <f t="shared" si="111"/>
        <v>2</v>
      </c>
    </row>
    <row r="851" spans="1:11" ht="15">
      <c r="A851" s="562">
        <f t="shared" si="112"/>
        <v>86500</v>
      </c>
      <c r="B851" s="277">
        <f>A851*Conversions!B$35</f>
        <v>26365.207192428526</v>
      </c>
      <c r="C851" s="573">
        <f t="shared" si="114"/>
        <v>0.6011877042995953</v>
      </c>
      <c r="D851" s="278">
        <f>C851*Conversions!$B$53</f>
        <v>15.270167608840419</v>
      </c>
      <c r="E851" s="279">
        <f>C851*Conversions!$B$59</f>
        <v>0.29527681997305105</v>
      </c>
      <c r="F851" s="280">
        <f>H851*Conversions!$D$67</f>
        <v>0.02076140025028264</v>
      </c>
      <c r="G851" s="281">
        <f t="shared" si="113"/>
        <v>0.20358549117970465</v>
      </c>
      <c r="H851" s="282">
        <f>C851*Conversions!$B$50</f>
        <v>20.358549117970465</v>
      </c>
      <c r="K851">
        <f t="shared" si="111"/>
        <v>2</v>
      </c>
    </row>
    <row r="852" spans="1:11" ht="15">
      <c r="A852" s="562">
        <f t="shared" si="112"/>
        <v>87000</v>
      </c>
      <c r="B852" s="277">
        <f>A852*Conversions!B$35</f>
        <v>26517.607234003255</v>
      </c>
      <c r="C852" s="573">
        <f t="shared" si="114"/>
        <v>0.5873197357337785</v>
      </c>
      <c r="D852" s="278">
        <f>C852*Conversions!$B$53</f>
        <v>14.9179212091226</v>
      </c>
      <c r="E852" s="279">
        <f>C852*Conversions!$B$59</f>
        <v>0.28846548695956015</v>
      </c>
      <c r="F852" s="280">
        <f>H852*Conversions!$D$67</f>
        <v>0.020282484191297877</v>
      </c>
      <c r="G852" s="281">
        <f t="shared" si="113"/>
        <v>0.19888925875188782</v>
      </c>
      <c r="H852" s="282">
        <f>C852*Conversions!$B$50</f>
        <v>19.888925875188782</v>
      </c>
      <c r="K852">
        <f aca="true" t="shared" si="116" ref="K852:K886">K851</f>
        <v>2</v>
      </c>
    </row>
    <row r="853" spans="1:11" ht="15">
      <c r="A853" s="562">
        <f t="shared" si="112"/>
        <v>87500</v>
      </c>
      <c r="B853" s="277">
        <f>A853*Conversions!B$35</f>
        <v>26670.007275577987</v>
      </c>
      <c r="C853" s="573">
        <f t="shared" si="114"/>
        <v>0.5737808094929534</v>
      </c>
      <c r="D853" s="278">
        <f>C853*Conversions!$B$53</f>
        <v>14.574032484415584</v>
      </c>
      <c r="E853" s="279">
        <f>C853*Conversions!$B$59</f>
        <v>0.2818157649881203</v>
      </c>
      <c r="F853" s="280">
        <f>H853*Conversions!$D$67</f>
        <v>0.019814931271245558</v>
      </c>
      <c r="G853" s="281">
        <f t="shared" si="113"/>
        <v>0.19430445282676434</v>
      </c>
      <c r="H853" s="282">
        <f>C853*Conversions!$B$50</f>
        <v>19.430445282676434</v>
      </c>
      <c r="K853">
        <f t="shared" si="116"/>
        <v>2</v>
      </c>
    </row>
    <row r="854" spans="1:11" ht="15">
      <c r="A854" s="562">
        <f t="shared" si="112"/>
        <v>88000</v>
      </c>
      <c r="B854" s="277">
        <f>A854*Conversions!B$35</f>
        <v>26822.40731715272</v>
      </c>
      <c r="C854" s="573">
        <f t="shared" si="114"/>
        <v>0.5605629018591832</v>
      </c>
      <c r="D854" s="278">
        <f>C854*Conversions!$B$53</f>
        <v>14.238297632284846</v>
      </c>
      <c r="E854" s="279">
        <f>C854*Conversions!$B$59</f>
        <v>0.27532371316323434</v>
      </c>
      <c r="F854" s="280">
        <f>H854*Conversions!$D$67</f>
        <v>0.019358464399263073</v>
      </c>
      <c r="G854" s="281">
        <f t="shared" si="113"/>
        <v>0.18982835626200817</v>
      </c>
      <c r="H854" s="282">
        <f>C854*Conversions!$B$50</f>
        <v>18.982835626200817</v>
      </c>
      <c r="K854">
        <f t="shared" si="116"/>
        <v>2</v>
      </c>
    </row>
    <row r="855" spans="1:11" ht="15">
      <c r="A855" s="562">
        <f t="shared" si="112"/>
        <v>88500</v>
      </c>
      <c r="B855" s="277">
        <f>A855*Conversions!B$35</f>
        <v>26974.807358727452</v>
      </c>
      <c r="C855" s="573">
        <f t="shared" si="114"/>
        <v>0.5476581900480952</v>
      </c>
      <c r="D855" s="278">
        <f>C855*Conversions!$B$53</f>
        <v>13.910517954008368</v>
      </c>
      <c r="E855" s="279">
        <f>C855*Conversions!$B$59</f>
        <v>0.2689854892790881</v>
      </c>
      <c r="F855" s="280">
        <f>H855*Conversions!$D$67</f>
        <v>0.01891281342352217</v>
      </c>
      <c r="G855" s="281">
        <f t="shared" si="113"/>
        <v>0.1854583199591971</v>
      </c>
      <c r="H855" s="282">
        <f>C855*Conversions!$B$50</f>
        <v>18.54583199591971</v>
      </c>
      <c r="K855">
        <f t="shared" si="116"/>
        <v>2</v>
      </c>
    </row>
    <row r="856" spans="1:11" ht="15">
      <c r="A856" s="562">
        <f t="shared" si="112"/>
        <v>89000</v>
      </c>
      <c r="B856" s="277">
        <f>A856*Conversions!B$35</f>
        <v>27127.20740030218</v>
      </c>
      <c r="C856" s="573">
        <f t="shared" si="114"/>
        <v>0.5350590470451101</v>
      </c>
      <c r="D856" s="278">
        <f>C856*Conversions!$B$53</f>
        <v>13.590499723416851</v>
      </c>
      <c r="E856" s="279">
        <f>C856*Conversions!$B$59</f>
        <v>0.26279734728333426</v>
      </c>
      <c r="F856" s="280">
        <f>H856*Conversions!$D$67</f>
        <v>0.01847771495290347</v>
      </c>
      <c r="G856" s="281">
        <f t="shared" si="113"/>
        <v>0.18119176111515956</v>
      </c>
      <c r="H856" s="282">
        <f>C856*Conversions!$B$50</f>
        <v>18.119176111515955</v>
      </c>
      <c r="K856">
        <f t="shared" si="116"/>
        <v>2</v>
      </c>
    </row>
    <row r="857" spans="1:11" ht="15">
      <c r="A857" s="562">
        <f t="shared" si="112"/>
        <v>89500</v>
      </c>
      <c r="B857" s="277">
        <f>A857*Conversions!B$35</f>
        <v>27279.607441876913</v>
      </c>
      <c r="C857" s="573">
        <f t="shared" si="114"/>
        <v>0.5227580365777359</v>
      </c>
      <c r="D857" s="278">
        <f>C857*Conversions!$B$53</f>
        <v>13.278054059189998</v>
      </c>
      <c r="E857" s="279">
        <f>C857*Conversions!$B$59</f>
        <v>0.2567556348077055</v>
      </c>
      <c r="F857" s="280">
        <f>H857*Conversions!$D$67</f>
        <v>0.01805291218336977</v>
      </c>
      <c r="G857" s="281">
        <f t="shared" si="113"/>
        <v>0.1770261615193982</v>
      </c>
      <c r="H857" s="282">
        <f>C857*Conversions!$B$50</f>
        <v>17.70261615193982</v>
      </c>
      <c r="K857">
        <f t="shared" si="116"/>
        <v>2</v>
      </c>
    </row>
    <row r="858" spans="1:11" ht="15">
      <c r="A858" s="562">
        <f t="shared" si="112"/>
        <v>90000</v>
      </c>
      <c r="B858" s="277">
        <f>A858*Conversions!B$35</f>
        <v>27432.007483451645</v>
      </c>
      <c r="C858" s="573">
        <f t="shared" si="114"/>
        <v>0.5107479082202993</v>
      </c>
      <c r="D858" s="278">
        <f>C858*Conversions!$B$53</f>
        <v>12.972996800516672</v>
      </c>
      <c r="E858" s="279">
        <f>C858*Conversions!$B$59</f>
        <v>0.250856790763675</v>
      </c>
      <c r="F858" s="280">
        <f>H858*Conversions!$D$67</f>
        <v>0.017638154728913</v>
      </c>
      <c r="G858" s="281">
        <f t="shared" si="113"/>
        <v>0.17295906589636206</v>
      </c>
      <c r="H858" s="282">
        <f>C858*Conversions!$B$50</f>
        <v>17.295906589636207</v>
      </c>
      <c r="K858">
        <f t="shared" si="116"/>
        <v>2</v>
      </c>
    </row>
    <row r="859" spans="1:11" ht="15">
      <c r="A859" s="562">
        <f t="shared" si="112"/>
        <v>90500</v>
      </c>
      <c r="B859" s="277">
        <f>A859*Conversions!B$35</f>
        <v>27584.407525026378</v>
      </c>
      <c r="C859" s="573">
        <f t="shared" si="114"/>
        <v>0.49902159262749946</v>
      </c>
      <c r="D859" s="278">
        <f>C859*Conversions!$B$53</f>
        <v>12.67514838602718</v>
      </c>
      <c r="E859" s="279">
        <f>C859*Conversions!$B$59</f>
        <v>0.24509734300138872</v>
      </c>
      <c r="F859" s="280">
        <f>H859*Conversions!$D$67</f>
        <v>0.01723319845694985</v>
      </c>
      <c r="G859" s="281">
        <f t="shared" si="113"/>
        <v>0.16898808029134263</v>
      </c>
      <c r="H859" s="282">
        <f>C859*Conversions!$B$50</f>
        <v>16.898808029134262</v>
      </c>
      <c r="K859">
        <f t="shared" si="116"/>
        <v>2</v>
      </c>
    </row>
    <row r="860" spans="1:11" ht="15">
      <c r="A860" s="562">
        <f t="shared" si="112"/>
        <v>91000</v>
      </c>
      <c r="B860" s="277">
        <f>A860*Conversions!B$35</f>
        <v>27736.807566601106</v>
      </c>
      <c r="C860" s="573">
        <f t="shared" si="114"/>
        <v>0.4875721968933321</v>
      </c>
      <c r="D860" s="278">
        <f>C860*Conversions!$B$53</f>
        <v>12.384333735909932</v>
      </c>
      <c r="E860" s="279">
        <f>C860*Conversions!$B$59</f>
        <v>0.23947390603017413</v>
      </c>
      <c r="F860" s="280">
        <f>H860*Conversions!$D$67</f>
        <v>0.01683780532804702</v>
      </c>
      <c r="G860" s="281">
        <f t="shared" si="113"/>
        <v>0.1651108704988255</v>
      </c>
      <c r="H860" s="282">
        <f>C860*Conversions!$B$50</f>
        <v>16.51108704988255</v>
      </c>
      <c r="K860">
        <f t="shared" si="116"/>
        <v>2</v>
      </c>
    </row>
    <row r="861" spans="1:11" ht="15">
      <c r="A861" s="562">
        <f t="shared" si="112"/>
        <v>91500</v>
      </c>
      <c r="B861" s="277">
        <f>A861*Conversions!B$35</f>
        <v>27889.20760817584</v>
      </c>
      <c r="C861" s="573">
        <f t="shared" si="114"/>
        <v>0.47639300003200374</v>
      </c>
      <c r="D861" s="278">
        <f>C861*Conversions!$B$53</f>
        <v>12.100382137126674</v>
      </c>
      <c r="E861" s="279">
        <f>C861*Conversions!$B$59</f>
        <v>0.23398317879896524</v>
      </c>
      <c r="F861" s="280">
        <f>H861*Conversions!$D$67</f>
        <v>0.016451743239859203</v>
      </c>
      <c r="G861" s="281">
        <f t="shared" si="113"/>
        <v>0.16132516053215265</v>
      </c>
      <c r="H861" s="282">
        <f>C861*Conversions!$B$50</f>
        <v>16.132516053215266</v>
      </c>
      <c r="K861">
        <f t="shared" si="116"/>
        <v>2</v>
      </c>
    </row>
    <row r="862" spans="1:11" ht="15">
      <c r="A862" s="562">
        <f t="shared" si="112"/>
        <v>92000</v>
      </c>
      <c r="B862" s="277">
        <f>A862*Conversions!B$35</f>
        <v>28041.60764975057</v>
      </c>
      <c r="C862" s="573">
        <f t="shared" si="114"/>
        <v>0.46547744857753953</v>
      </c>
      <c r="D862" s="278">
        <f>C862*Conversions!$B$53</f>
        <v>11.82312713164252</v>
      </c>
      <c r="E862" s="279">
        <f>C862*Conversions!$B$59</f>
        <v>0.2286219425350243</v>
      </c>
      <c r="F862" s="280">
        <f>H862*Conversions!$D$67</f>
        <v>0.016074785875166076</v>
      </c>
      <c r="G862" s="281">
        <f t="shared" si="113"/>
        <v>0.15762873113337872</v>
      </c>
      <c r="H862" s="282">
        <f>C862*Conversions!$B$50</f>
        <v>15.762873113337873</v>
      </c>
      <c r="K862">
        <f t="shared" si="116"/>
        <v>2</v>
      </c>
    </row>
    <row r="863" spans="1:11" ht="15">
      <c r="A863" s="562">
        <f t="shared" si="112"/>
        <v>92500</v>
      </c>
      <c r="B863" s="277">
        <f>A863*Conversions!B$35</f>
        <v>28194.007691325303</v>
      </c>
      <c r="C863" s="573">
        <f t="shared" si="114"/>
        <v>0.454819152298889</v>
      </c>
      <c r="D863" s="278">
        <f>C863*Conversions!$B$53</f>
        <v>11.552406407589642</v>
      </c>
      <c r="E863" s="279">
        <f>C863*Conversions!$B$59</f>
        <v>0.22338705863939126</v>
      </c>
      <c r="F863" s="280">
        <f>H863*Conversions!$D$67</f>
        <v>0.015706712553897866</v>
      </c>
      <c r="G863" s="281">
        <f t="shared" si="113"/>
        <v>0.15401941832223953</v>
      </c>
      <c r="H863" s="282">
        <f>C863*Conversions!$B$50</f>
        <v>15.401941832223953</v>
      </c>
      <c r="K863">
        <f t="shared" si="116"/>
        <v>2</v>
      </c>
    </row>
    <row r="864" spans="1:11" ht="15">
      <c r="A864" s="562">
        <f t="shared" si="112"/>
        <v>93000</v>
      </c>
      <c r="B864" s="277">
        <f>A864*Conversions!B$35</f>
        <v>28346.407732900032</v>
      </c>
      <c r="C864" s="573">
        <f t="shared" si="114"/>
        <v>0.4444118800274497</v>
      </c>
      <c r="D864" s="278">
        <f>C864*Conversions!$B$53</f>
        <v>11.288061693286371</v>
      </c>
      <c r="E864" s="279">
        <f>C864*Conversions!$B$59</f>
        <v>0.21827546663754804</v>
      </c>
      <c r="F864" s="280">
        <f>H864*Conversions!$D$67</f>
        <v>0.015347308089043173</v>
      </c>
      <c r="G864" s="281">
        <f t="shared" si="113"/>
        <v>0.15049511198318968</v>
      </c>
      <c r="H864" s="282">
        <f>C864*Conversions!$B$50</f>
        <v>15.049511198318969</v>
      </c>
      <c r="K864">
        <f t="shared" si="116"/>
        <v>2</v>
      </c>
    </row>
    <row r="865" spans="1:11" ht="15">
      <c r="A865" s="562">
        <f t="shared" si="112"/>
        <v>93500</v>
      </c>
      <c r="B865" s="277">
        <f>A865*Conversions!B$35</f>
        <v>28498.807774474764</v>
      </c>
      <c r="C865" s="573">
        <f t="shared" si="114"/>
        <v>0.43424955559393813</v>
      </c>
      <c r="D865" s="278">
        <f>C865*Conversions!$B$53</f>
        <v>11.029938654033721</v>
      </c>
      <c r="E865" s="279">
        <f>C865*Conversions!$B$59</f>
        <v>0.21328418218378886</v>
      </c>
      <c r="F865" s="280">
        <f>H865*Conversions!$D$67</f>
        <v>0.014996362646332955</v>
      </c>
      <c r="G865" s="281">
        <f t="shared" si="113"/>
        <v>0.1470537544894693</v>
      </c>
      <c r="H865" s="282">
        <f>C865*Conversions!$B$50</f>
        <v>14.705375448946931</v>
      </c>
      <c r="K865">
        <f t="shared" si="116"/>
        <v>2</v>
      </c>
    </row>
    <row r="866" spans="1:11" ht="15">
      <c r="A866" s="562">
        <f t="shared" si="112"/>
        <v>94000</v>
      </c>
      <c r="B866" s="277">
        <f>A866*Conversions!B$35</f>
        <v>28651.207816049497</v>
      </c>
      <c r="C866" s="573">
        <f t="shared" si="114"/>
        <v>0.4243262538717222</v>
      </c>
      <c r="D866" s="278">
        <f>C866*Conversions!$B$53</f>
        <v>10.777886791616025</v>
      </c>
      <c r="E866" s="279">
        <f>C866*Conversions!$B$59</f>
        <v>0.20841029511788037</v>
      </c>
      <c r="F866" s="280">
        <f>H866*Conversions!$D$67</f>
        <v>0.014653671607601105</v>
      </c>
      <c r="G866" s="281">
        <f t="shared" si="113"/>
        <v>0.14369333936322284</v>
      </c>
      <c r="H866" s="282">
        <f>C866*Conversions!$B$50</f>
        <v>14.369333936322285</v>
      </c>
      <c r="K866">
        <f t="shared" si="116"/>
        <v>2</v>
      </c>
    </row>
    <row r="867" spans="1:11" ht="15">
      <c r="A867" s="562">
        <f t="shared" si="112"/>
        <v>94500</v>
      </c>
      <c r="B867" s="277">
        <f>A867*Conversions!B$35</f>
        <v>28803.607857624225</v>
      </c>
      <c r="C867" s="573">
        <f t="shared" si="114"/>
        <v>0.41463619692371834</v>
      </c>
      <c r="D867" s="278">
        <f>C867*Conversions!$B$53</f>
        <v>10.531759346432134</v>
      </c>
      <c r="E867" s="279">
        <f>C867*Conversions!$B$59</f>
        <v>0.20365096757258766</v>
      </c>
      <c r="F867" s="280">
        <f>H867*Conversions!$D$67</f>
        <v>0.014319035437721483</v>
      </c>
      <c r="G867" s="281">
        <f t="shared" si="113"/>
        <v>0.14041190997068895</v>
      </c>
      <c r="H867" s="282">
        <f>C867*Conversions!$B$50</f>
        <v>14.041190997068895</v>
      </c>
      <c r="K867">
        <f t="shared" si="116"/>
        <v>2</v>
      </c>
    </row>
    <row r="868" spans="1:11" ht="15">
      <c r="A868" s="562">
        <f t="shared" si="112"/>
        <v>95000</v>
      </c>
      <c r="B868" s="277">
        <f>A868*Conversions!B$35</f>
        <v>28956.007899198958</v>
      </c>
      <c r="C868" s="573">
        <f t="shared" si="114"/>
        <v>0.40517375025009794</v>
      </c>
      <c r="D868" s="278">
        <f>C868*Conversions!$B$53</f>
        <v>10.291413202187156</v>
      </c>
      <c r="E868" s="279">
        <f>C868*Conversions!$B$59</f>
        <v>0.19900343213071373</v>
      </c>
      <c r="F868" s="280">
        <f>H868*Conversions!$D$67</f>
        <v>0.013992259555026303</v>
      </c>
      <c r="G868" s="281">
        <f t="shared" si="113"/>
        <v>0.1372075582515281</v>
      </c>
      <c r="H868" s="282">
        <f>C868*Conversions!$B$50</f>
        <v>13.72075582515281</v>
      </c>
      <c r="K868">
        <f t="shared" si="116"/>
        <v>2</v>
      </c>
    </row>
    <row r="869" spans="1:11" ht="15">
      <c r="A869" s="562">
        <f t="shared" si="112"/>
        <v>95500</v>
      </c>
      <c r="B869" s="277">
        <f>A869*Conversions!B$35</f>
        <v>29108.40794077369</v>
      </c>
      <c r="C869" s="573">
        <f t="shared" si="114"/>
        <v>0.3959334191340815</v>
      </c>
      <c r="D869" s="278">
        <f>C869*Conversions!$B$53</f>
        <v>10.056708793075623</v>
      </c>
      <c r="E869" s="279">
        <f>C869*Conversions!$B$59</f>
        <v>0.19446499003031495</v>
      </c>
      <c r="F869" s="280">
        <f>H869*Conversions!$D$67</f>
        <v>0.013673154205111901</v>
      </c>
      <c r="G869" s="281">
        <f t="shared" si="113"/>
        <v>0.13407842348136678</v>
      </c>
      <c r="H869" s="282">
        <f>C869*Conversions!$B$50</f>
        <v>13.407842348136679</v>
      </c>
      <c r="K869">
        <f t="shared" si="116"/>
        <v>2</v>
      </c>
    </row>
    <row r="870" spans="1:11" ht="15">
      <c r="A870" s="562">
        <f t="shared" si="112"/>
        <v>96000</v>
      </c>
      <c r="B870" s="277">
        <f>A870*Conversions!B$35</f>
        <v>29260.807982348422</v>
      </c>
      <c r="C870" s="573">
        <f t="shared" si="114"/>
        <v>0.3869098450832155</v>
      </c>
      <c r="D870" s="278">
        <f>C870*Conversions!$B$53</f>
        <v>9.827510013389938</v>
      </c>
      <c r="E870" s="279">
        <f>C870*Conversions!$B$59</f>
        <v>0.19003300941681384</v>
      </c>
      <c r="F870" s="280">
        <f>H870*Conversions!$D$67</f>
        <v>0.013361534337941875</v>
      </c>
      <c r="G870" s="281">
        <f t="shared" si="113"/>
        <v>0.13102269106667572</v>
      </c>
      <c r="H870" s="282">
        <f>C870*Conversions!$B$50</f>
        <v>13.102269106667572</v>
      </c>
      <c r="K870">
        <f t="shared" si="116"/>
        <v>2</v>
      </c>
    </row>
    <row r="871" spans="1:11" ht="15">
      <c r="A871" s="562">
        <f t="shared" si="112"/>
        <v>96500</v>
      </c>
      <c r="B871" s="277">
        <f>A871*Conversions!B$35</f>
        <v>29413.20802392315</v>
      </c>
      <c r="C871" s="573">
        <f t="shared" si="114"/>
        <v>0.37809780236355445</v>
      </c>
      <c r="D871" s="278">
        <f>C871*Conversions!$B$53</f>
        <v>9.603684129488578</v>
      </c>
      <c r="E871" s="279">
        <f>C871*Conversions!$B$59</f>
        <v>0.18570492364074226</v>
      </c>
      <c r="F871" s="280">
        <f>H871*Conversions!$D$67</f>
        <v>0.013057219488158618</v>
      </c>
      <c r="G871" s="281">
        <f t="shared" si="113"/>
        <v>0.12803859137110923</v>
      </c>
      <c r="H871" s="282">
        <f>C871*Conversions!$B$50</f>
        <v>12.803859137110923</v>
      </c>
      <c r="K871">
        <f t="shared" si="116"/>
        <v>2</v>
      </c>
    </row>
    <row r="872" spans="1:11" ht="15">
      <c r="A872" s="562">
        <f aca="true" t="shared" si="117" ref="A872:A935">A871+500</f>
        <v>97000</v>
      </c>
      <c r="B872" s="277">
        <f>A872*Conversions!B$35</f>
        <v>29565.608065497883</v>
      </c>
      <c r="C872" s="573">
        <f t="shared" si="114"/>
        <v>0.36949219462426897</v>
      </c>
      <c r="D872" s="278">
        <f>C872*Conversions!$B$53</f>
        <v>9.385101694061161</v>
      </c>
      <c r="E872" s="279">
        <f>C872*Conversions!$B$59</f>
        <v>0.18147822959989843</v>
      </c>
      <c r="F872" s="280">
        <f>H872*Conversions!$D$67</f>
        <v>0.01276003365851763</v>
      </c>
      <c r="G872" s="281">
        <f aca="true" t="shared" si="118" ref="G872:G935">H872/100</f>
        <v>0.1251243985724667</v>
      </c>
      <c r="H872" s="282">
        <f>C872*Conversions!$B$50</f>
        <v>12.512439857246672</v>
      </c>
      <c r="K872">
        <f t="shared" si="116"/>
        <v>2</v>
      </c>
    </row>
    <row r="873" spans="1:11" ht="15">
      <c r="A873" s="562">
        <f t="shared" si="117"/>
        <v>97500</v>
      </c>
      <c r="B873" s="277">
        <f>A873*Conversions!B$35</f>
        <v>29718.008107072616</v>
      </c>
      <c r="C873" s="573">
        <f t="shared" si="114"/>
        <v>0.36108805161026836</v>
      </c>
      <c r="D873" s="278">
        <f>C873*Conversions!$B$53</f>
        <v>9.171636462629046</v>
      </c>
      <c r="E873" s="279">
        <f>C873*Conversions!$B$59</f>
        <v>0.17735048612473217</v>
      </c>
      <c r="F873" s="280">
        <f>H873*Conversions!$D$67</f>
        <v>0.012469805206361309</v>
      </c>
      <c r="G873" s="281">
        <f t="shared" si="118"/>
        <v>0.12227842954945896</v>
      </c>
      <c r="H873" s="282">
        <f>C873*Conversions!$B$50</f>
        <v>12.227842954945896</v>
      </c>
      <c r="K873">
        <f t="shared" si="116"/>
        <v>2</v>
      </c>
    </row>
    <row r="874" spans="1:11" ht="15">
      <c r="A874" s="562">
        <f t="shared" si="117"/>
        <v>98000</v>
      </c>
      <c r="B874" s="277">
        <f>A874*Conversions!B$35</f>
        <v>29870.408148647348</v>
      </c>
      <c r="C874" s="573">
        <f t="shared" si="114"/>
        <v>0.3528805259604808</v>
      </c>
      <c r="D874" s="278">
        <f>C874*Conversions!$B$53</f>
        <v>8.963165312221658</v>
      </c>
      <c r="E874" s="279">
        <f>C874*Conversions!$B$59</f>
        <v>0.17331931240580195</v>
      </c>
      <c r="F874" s="280">
        <f>H874*Conversions!$D$67</f>
        <v>0.012186366733050845</v>
      </c>
      <c r="G874" s="281">
        <f t="shared" si="118"/>
        <v>0.11949904279748153</v>
      </c>
      <c r="H874" s="282">
        <f>C874*Conversions!$B$50</f>
        <v>11.949904279748152</v>
      </c>
      <c r="K874">
        <f t="shared" si="116"/>
        <v>2</v>
      </c>
    </row>
    <row r="875" spans="1:11" ht="15">
      <c r="A875" s="562">
        <f t="shared" si="117"/>
        <v>98500</v>
      </c>
      <c r="B875" s="277">
        <f>A875*Conversions!B$35</f>
        <v>30022.808190222077</v>
      </c>
      <c r="C875" s="573">
        <f aca="true" t="shared" si="119" ref="C875:C938">C$20*((D$20/(D$20+(E$20*(A875-B$20))))^((G$18*H$18)/(F$18*E$20)))</f>
        <v>0.34486489008949683</v>
      </c>
      <c r="D875" s="278">
        <f>C875*Conversions!$B$53</f>
        <v>8.759568162170229</v>
      </c>
      <c r="E875" s="279">
        <f>C875*Conversions!$B$59</f>
        <v>0.1693823864621759</v>
      </c>
      <c r="F875" s="280">
        <f>H875*Conversions!$D$67</f>
        <v>0.011909554976276973</v>
      </c>
      <c r="G875" s="281">
        <f t="shared" si="118"/>
        <v>0.11678463737261822</v>
      </c>
      <c r="H875" s="282">
        <f>C875*Conversions!$B$50</f>
        <v>11.678463737261822</v>
      </c>
      <c r="K875">
        <f t="shared" si="116"/>
        <v>2</v>
      </c>
    </row>
    <row r="876" spans="1:11" ht="15">
      <c r="A876" s="562">
        <f t="shared" si="117"/>
        <v>99000</v>
      </c>
      <c r="B876" s="277">
        <f>A876*Conversions!B$35</f>
        <v>30175.20823179681</v>
      </c>
      <c r="C876" s="573">
        <f t="shared" si="119"/>
        <v>0.33703653315036924</v>
      </c>
      <c r="D876" s="278">
        <f>C876*Conversions!$B$53</f>
        <v>8.560727896962916</v>
      </c>
      <c r="E876" s="279">
        <f>C876*Conversions!$B$59</f>
        <v>0.16553744364969344</v>
      </c>
      <c r="F876" s="280">
        <f>H876*Conversions!$D$67</f>
        <v>0.0116392107051734</v>
      </c>
      <c r="G876" s="281">
        <f t="shared" si="118"/>
        <v>0.11413365186312731</v>
      </c>
      <c r="H876" s="282">
        <f>C876*Conversions!$B$50</f>
        <v>11.413365186312731</v>
      </c>
      <c r="K876">
        <f t="shared" si="116"/>
        <v>2</v>
      </c>
    </row>
    <row r="877" spans="1:11" ht="15">
      <c r="A877" s="562">
        <f t="shared" si="117"/>
        <v>99500</v>
      </c>
      <c r="B877" s="277">
        <f>A877*Conversions!B$35</f>
        <v>30327.60827337154</v>
      </c>
      <c r="C877" s="573">
        <f t="shared" si="119"/>
        <v>0.32939095807638075</v>
      </c>
      <c r="D877" s="278">
        <f>C877*Conversions!$B$53</f>
        <v>8.366530291105702</v>
      </c>
      <c r="E877" s="279">
        <f>C877*Conversions!$B$59</f>
        <v>0.16178227520801233</v>
      </c>
      <c r="F877" s="280">
        <f>H877*Conversions!$D$67</f>
        <v>0.011375178618157268</v>
      </c>
      <c r="G877" s="281">
        <f t="shared" si="118"/>
        <v>0.1115445633876691</v>
      </c>
      <c r="H877" s="282">
        <f>C877*Conversions!$B$50</f>
        <v>11.154456338766911</v>
      </c>
      <c r="K877">
        <f t="shared" si="116"/>
        <v>2</v>
      </c>
    </row>
    <row r="878" spans="1:11" ht="15">
      <c r="A878" s="562">
        <f t="shared" si="117"/>
        <v>100000</v>
      </c>
      <c r="B878" s="277">
        <f>A878*Conversions!B$35</f>
        <v>30480.008314946273</v>
      </c>
      <c r="C878" s="573">
        <f t="shared" si="119"/>
        <v>0.3219237786997021</v>
      </c>
      <c r="D878" s="278">
        <f>C878*Conversions!$B$53</f>
        <v>8.176863935936309</v>
      </c>
      <c r="E878" s="279">
        <f>C878*Conversions!$B$59</f>
        <v>0.15811472684542102</v>
      </c>
      <c r="F878" s="280">
        <f>H878*Conversions!$D$67</f>
        <v>0.011117307243424985</v>
      </c>
      <c r="G878" s="281">
        <f t="shared" si="118"/>
        <v>0.1090158866195719</v>
      </c>
      <c r="H878" s="282">
        <f>C878*Conversions!$B$50</f>
        <v>10.90158866195719</v>
      </c>
      <c r="K878">
        <f t="shared" si="116"/>
        <v>2</v>
      </c>
    </row>
    <row r="879" spans="1:11" ht="15">
      <c r="A879" s="562">
        <f t="shared" si="117"/>
        <v>100500</v>
      </c>
      <c r="B879" s="277">
        <f>A879*Conversions!B$35</f>
        <v>30632.408356521002</v>
      </c>
      <c r="C879" s="573">
        <f t="shared" si="119"/>
        <v>0.31463071694486827</v>
      </c>
      <c r="D879" s="278">
        <f>C879*Conversions!$B$53</f>
        <v>7.991620168338496</v>
      </c>
      <c r="E879" s="279">
        <f>C879*Conversions!$B$59</f>
        <v>0.15453269736039807</v>
      </c>
      <c r="F879" s="280">
        <f>H879*Conversions!$D$67</f>
        <v>0.010865448842031802</v>
      </c>
      <c r="G879" s="281">
        <f t="shared" si="118"/>
        <v>0.10654617283643394</v>
      </c>
      <c r="H879" s="282">
        <f>C879*Conversions!$B$50</f>
        <v>10.654617283643395</v>
      </c>
      <c r="K879">
        <f t="shared" si="116"/>
        <v>2</v>
      </c>
    </row>
    <row r="880" spans="1:11" ht="15">
      <c r="A880" s="562">
        <f t="shared" si="117"/>
        <v>101000</v>
      </c>
      <c r="B880" s="277">
        <f>A880*Conversions!B$35</f>
        <v>30784.808398095734</v>
      </c>
      <c r="C880" s="573">
        <f t="shared" si="119"/>
        <v>0.3075076000950967</v>
      </c>
      <c r="D880" s="278">
        <f>C880*Conversions!$B$53</f>
        <v>7.8106930013065465</v>
      </c>
      <c r="E880" s="279">
        <f>C880*Conversions!$B$59</f>
        <v>0.15103413729894868</v>
      </c>
      <c r="F880" s="280">
        <f>H880*Conversions!$D$67</f>
        <v>0.010619459313486915</v>
      </c>
      <c r="G880" s="281">
        <f t="shared" si="118"/>
        <v>0.10413400899439287</v>
      </c>
      <c r="H880" s="282">
        <f>C880*Conversions!$B$50</f>
        <v>10.413400899439287</v>
      </c>
      <c r="K880">
        <f t="shared" si="116"/>
        <v>2</v>
      </c>
    </row>
    <row r="881" spans="1:11" ht="15">
      <c r="A881" s="562">
        <f t="shared" si="117"/>
        <v>101500</v>
      </c>
      <c r="B881" s="277">
        <f>A881*Conversions!B$35</f>
        <v>30937.208439670467</v>
      </c>
      <c r="C881" s="573">
        <f t="shared" si="119"/>
        <v>0.3005503581295062</v>
      </c>
      <c r="D881" s="278">
        <f>C881*Conversions!$B$53</f>
        <v>7.633979056310621</v>
      </c>
      <c r="E881" s="279">
        <f>C881*Conversions!$B$59</f>
        <v>0.1476170476467643</v>
      </c>
      <c r="F881" s="280">
        <f>H881*Conversions!$D$67</f>
        <v>0.01037919810379706</v>
      </c>
      <c r="G881" s="281">
        <f t="shared" si="118"/>
        <v>0.10177801682640443</v>
      </c>
      <c r="H881" s="282">
        <f>C881*Conversions!$B$50</f>
        <v>10.177801682640442</v>
      </c>
      <c r="K881">
        <f t="shared" si="116"/>
        <v>2</v>
      </c>
    </row>
    <row r="882" spans="1:11" ht="15">
      <c r="A882" s="562">
        <f t="shared" si="117"/>
        <v>102000</v>
      </c>
      <c r="B882" s="277">
        <f>A882*Conversions!B$35</f>
        <v>31089.6084812452</v>
      </c>
      <c r="C882" s="573">
        <f t="shared" si="119"/>
        <v>0.2937550211293492</v>
      </c>
      <c r="D882" s="278">
        <f>C882*Conversions!$B$53</f>
        <v>7.461377497415063</v>
      </c>
      <c r="E882" s="279">
        <f>C882*Conversions!$B$59</f>
        <v>0.14427947855527862</v>
      </c>
      <c r="F882" s="280">
        <f>H882*Conversions!$D$67</f>
        <v>0.010144528115893402</v>
      </c>
      <c r="G882" s="281">
        <f t="shared" si="118"/>
        <v>0.09947685196389226</v>
      </c>
      <c r="H882" s="282">
        <f>C882*Conversions!$B$50</f>
        <v>9.947685196389227</v>
      </c>
      <c r="K882">
        <f t="shared" si="116"/>
        <v>2</v>
      </c>
    </row>
    <row r="883" spans="1:11" ht="15">
      <c r="A883" s="562">
        <f t="shared" si="117"/>
        <v>102500</v>
      </c>
      <c r="B883" s="277">
        <f>A883*Conversions!B$35</f>
        <v>31242.008522819928</v>
      </c>
      <c r="C883" s="573">
        <f t="shared" si="119"/>
        <v>0.2871177167514269</v>
      </c>
      <c r="D883" s="278">
        <f>C883*Conversions!$B$53</f>
        <v>7.292789967103138</v>
      </c>
      <c r="E883" s="279">
        <f>C883*Conversions!$B$59</f>
        <v>0.1410195281007207</v>
      </c>
      <c r="F883" s="280">
        <f>H883*Conversions!$D$67</f>
        <v>0.009915315622378518</v>
      </c>
      <c r="G883" s="281">
        <f t="shared" si="118"/>
        <v>0.09722920308114809</v>
      </c>
      <c r="H883" s="282">
        <f>C883*Conversions!$B$50</f>
        <v>9.722920308114809</v>
      </c>
      <c r="K883">
        <f t="shared" si="116"/>
        <v>2</v>
      </c>
    </row>
    <row r="884" spans="1:11" ht="15">
      <c r="A884" s="562">
        <f t="shared" si="117"/>
        <v>103000</v>
      </c>
      <c r="B884" s="277">
        <f>A884*Conversions!B$35</f>
        <v>31394.40856439466</v>
      </c>
      <c r="C884" s="573">
        <f t="shared" si="119"/>
        <v>0.2806346677669046</v>
      </c>
      <c r="D884" s="278">
        <f>C884*Conversions!$B$53</f>
        <v>7.128120523762954</v>
      </c>
      <c r="E884" s="279">
        <f>C884*Conversions!$B$59</f>
        <v>0.13783534107528994</v>
      </c>
      <c r="F884" s="280">
        <f>H884*Conversions!$D$67</f>
        <v>0.009691430180531922</v>
      </c>
      <c r="G884" s="281">
        <f t="shared" si="118"/>
        <v>0.0950337910618791</v>
      </c>
      <c r="H884" s="282">
        <f>C884*Conversions!$B$50</f>
        <v>9.50337910618791</v>
      </c>
      <c r="K884">
        <f t="shared" si="116"/>
        <v>2</v>
      </c>
    </row>
    <row r="885" spans="1:11" ht="15">
      <c r="A885" s="562">
        <f t="shared" si="117"/>
        <v>103500</v>
      </c>
      <c r="B885" s="277">
        <f>A885*Conversions!B$35</f>
        <v>31546.808605969392</v>
      </c>
      <c r="C885" s="573">
        <f t="shared" si="119"/>
        <v>0.2743021896637855</v>
      </c>
      <c r="D885" s="278">
        <f>C885*Conversions!$B$53</f>
        <v>6.967275580790281</v>
      </c>
      <c r="E885" s="279">
        <f>C885*Conversions!$B$59</f>
        <v>0.13472510780959732</v>
      </c>
      <c r="F885" s="280">
        <f>H885*Conversions!$D$67</f>
        <v>0.009472744549513946</v>
      </c>
      <c r="G885" s="281">
        <f t="shared" si="118"/>
        <v>0.09288936818731253</v>
      </c>
      <c r="H885" s="282">
        <f>C885*Conversions!$B$50</f>
        <v>9.288936818731253</v>
      </c>
      <c r="K885">
        <f t="shared" si="116"/>
        <v>2</v>
      </c>
    </row>
    <row r="886" spans="1:11" ht="15">
      <c r="A886" s="562">
        <f t="shared" si="117"/>
        <v>104000</v>
      </c>
      <c r="B886" s="277">
        <f>A886*Conversions!B$35</f>
        <v>31699.20864754412</v>
      </c>
      <c r="C886" s="573">
        <f t="shared" si="119"/>
        <v>0.2681166883113735</v>
      </c>
      <c r="D886" s="278">
        <f>C886*Conversions!$B$53</f>
        <v>6.810163847265919</v>
      </c>
      <c r="E886" s="279">
        <f>C886*Conversions!$B$59</f>
        <v>0.13168706302555255</v>
      </c>
      <c r="F886" s="280">
        <f>H886*Conversions!$D$67</f>
        <v>0.009259134609710363</v>
      </c>
      <c r="G886" s="281">
        <f t="shared" si="118"/>
        <v>0.090794717345292</v>
      </c>
      <c r="H886" s="282">
        <f>C886*Conversions!$B$50</f>
        <v>9.0794717345292</v>
      </c>
      <c r="K886">
        <f t="shared" si="116"/>
        <v>2</v>
      </c>
    </row>
    <row r="887" spans="1:11" ht="15">
      <c r="A887" s="566">
        <f t="shared" si="117"/>
        <v>104500</v>
      </c>
      <c r="B887" s="567">
        <f>A887*Conversions!B$35</f>
        <v>31851.608689118853</v>
      </c>
      <c r="C887" s="568">
        <f t="shared" si="119"/>
        <v>0.26207465768505306</v>
      </c>
      <c r="D887" s="646">
        <f>C887*Conversions!$B$53</f>
        <v>6.656696270165105</v>
      </c>
      <c r="E887" s="647">
        <f>C887*Conversions!$B$59</f>
        <v>0.12871948471887681</v>
      </c>
      <c r="F887" s="648">
        <f>H887*Conversions!$D$67</f>
        <v>0.009050479284160005</v>
      </c>
      <c r="G887" s="649">
        <f t="shared" si="118"/>
        <v>0.08874865125979989</v>
      </c>
      <c r="H887" s="569">
        <f>C887*Conversions!$B$50</f>
        <v>8.874865125979989</v>
      </c>
      <c r="I887" s="571"/>
      <c r="J887" s="651"/>
      <c r="K887" s="652">
        <f aca="true" t="shared" si="120" ref="K887:K939">K886</f>
        <v>2</v>
      </c>
    </row>
    <row r="888" spans="1:12" ht="15">
      <c r="A888" s="572">
        <f t="shared" si="117"/>
        <v>105000</v>
      </c>
      <c r="B888" s="343">
        <f>A888*Conversions!B$35</f>
        <v>32004.008730693586</v>
      </c>
      <c r="C888" s="573">
        <f t="shared" si="119"/>
        <v>0.25617267764981827</v>
      </c>
      <c r="D888" s="573">
        <f>C888*Conversions!$B$53</f>
        <v>6.506785978059143</v>
      </c>
      <c r="E888" s="380">
        <f>C888*Conversions!$B$59</f>
        <v>0.12582069307046995</v>
      </c>
      <c r="F888" s="655">
        <f>H888*Conversions!$D$67</f>
        <v>0.008846660462011203</v>
      </c>
      <c r="G888" s="656">
        <f t="shared" si="118"/>
        <v>0.08675001174037403</v>
      </c>
      <c r="H888" s="574">
        <f>C888*Conversions!$B$50</f>
        <v>8.675001174037403</v>
      </c>
      <c r="K888" s="657">
        <f>K887+1</f>
        <v>3</v>
      </c>
      <c r="L888" s="420" t="s">
        <v>333</v>
      </c>
    </row>
    <row r="889" spans="1:12" ht="15">
      <c r="A889" s="562">
        <f t="shared" si="117"/>
        <v>105500</v>
      </c>
      <c r="B889" s="277">
        <f>A889*Conversions!B$35</f>
        <v>32156.408772268318</v>
      </c>
      <c r="C889" s="573">
        <f t="shared" si="119"/>
        <v>0.25040741180098536</v>
      </c>
      <c r="D889" s="278">
        <f>C889*Conversions!$B$53</f>
        <v>6.360348226269512</v>
      </c>
      <c r="E889" s="279">
        <f>C889*Conversions!$B$59</f>
        <v>0.12298904938586412</v>
      </c>
      <c r="F889" s="280">
        <f>H889*Conversions!$D$67</f>
        <v>0.008647562923953009</v>
      </c>
      <c r="G889" s="281">
        <f t="shared" si="118"/>
        <v>0.08479766895088924</v>
      </c>
      <c r="H889" s="282">
        <f>C889*Conversions!$B$50</f>
        <v>8.479766895088924</v>
      </c>
      <c r="J889" s="517">
        <v>0</v>
      </c>
      <c r="K889">
        <f aca="true" t="shared" si="121" ref="K889:K896">K888</f>
        <v>3</v>
      </c>
      <c r="L889" s="420"/>
    </row>
    <row r="890" spans="1:11" ht="15">
      <c r="A890" s="562">
        <f t="shared" si="117"/>
        <v>106000</v>
      </c>
      <c r="B890" s="277">
        <f>A890*Conversions!B$35</f>
        <v>32308.808813843047</v>
      </c>
      <c r="C890" s="573">
        <f t="shared" si="119"/>
        <v>0.24477560536056378</v>
      </c>
      <c r="D890" s="278">
        <f>C890*Conversions!$B$53</f>
        <v>6.217300343435687</v>
      </c>
      <c r="E890" s="279">
        <f>C890*Conversions!$B$59</f>
        <v>0.12022295506201428</v>
      </c>
      <c r="F890" s="280">
        <f>H890*Conversions!$D$67</f>
        <v>0.008453074269568548</v>
      </c>
      <c r="G890" s="281">
        <f t="shared" si="118"/>
        <v>0.08289052069718697</v>
      </c>
      <c r="H890" s="282">
        <f>C890*Conversions!$B$50</f>
        <v>8.289052069718696</v>
      </c>
      <c r="J890" s="517">
        <v>36089</v>
      </c>
      <c r="K890">
        <f t="shared" si="121"/>
        <v>3</v>
      </c>
    </row>
    <row r="891" spans="1:11" ht="15">
      <c r="A891" s="562">
        <f t="shared" si="117"/>
        <v>106500</v>
      </c>
      <c r="B891" s="277">
        <f>A891*Conversions!B$35</f>
        <v>32461.20885541778</v>
      </c>
      <c r="C891" s="573">
        <f t="shared" si="119"/>
        <v>0.2392740831278437</v>
      </c>
      <c r="D891" s="278">
        <f>C891*Conversions!$B$53</f>
        <v>6.0775616794600635</v>
      </c>
      <c r="E891" s="279">
        <f>C891*Conversions!$B$59</f>
        <v>0.11752085058071722</v>
      </c>
      <c r="F891" s="280">
        <f>H891*Conversions!$D$67</f>
        <v>0.008263084846560638</v>
      </c>
      <c r="G891" s="281">
        <f t="shared" si="118"/>
        <v>0.0810274917330646</v>
      </c>
      <c r="H891" s="282">
        <f>C891*Conversions!$B$50</f>
        <v>8.10274917330646</v>
      </c>
      <c r="J891" s="517">
        <v>65617</v>
      </c>
      <c r="K891">
        <f t="shared" si="121"/>
        <v>3</v>
      </c>
    </row>
    <row r="892" spans="1:11" ht="15">
      <c r="A892" s="562">
        <f t="shared" si="117"/>
        <v>107000</v>
      </c>
      <c r="B892" s="277">
        <f>A892*Conversions!B$35</f>
        <v>32613.60889699251</v>
      </c>
      <c r="C892" s="573">
        <f t="shared" si="119"/>
        <v>0.23389974748273834</v>
      </c>
      <c r="D892" s="278">
        <f>C892*Conversions!$B$53</f>
        <v>5.941053554792851</v>
      </c>
      <c r="E892" s="279">
        <f>C892*Conversions!$B$59</f>
        <v>0.11488121452794176</v>
      </c>
      <c r="F892" s="280">
        <f>H892*Conversions!$D$67</f>
        <v>0.008077487681799283</v>
      </c>
      <c r="G892" s="281">
        <f t="shared" si="118"/>
        <v>0.0792075330841297</v>
      </c>
      <c r="H892" s="282">
        <f>C892*Conversions!$B$50</f>
        <v>7.920753308412969</v>
      </c>
      <c r="I892" s="79" t="str">
        <f>CONCATENATE("L",M139,"/F",N139)</f>
        <v>L3/F1</v>
      </c>
      <c r="J892" s="642">
        <v>104987</v>
      </c>
      <c r="K892">
        <f t="shared" si="121"/>
        <v>3</v>
      </c>
    </row>
    <row r="893" spans="1:11" ht="15">
      <c r="A893" s="562">
        <f t="shared" si="117"/>
        <v>107500</v>
      </c>
      <c r="B893" s="277">
        <f>A893*Conversions!B$35</f>
        <v>32766.008938567244</v>
      </c>
      <c r="C893" s="573">
        <f t="shared" si="119"/>
        <v>0.22864957644051476</v>
      </c>
      <c r="D893" s="278">
        <f>C893*Conversions!$B$53</f>
        <v>5.807699211022237</v>
      </c>
      <c r="E893" s="279">
        <f>C893*Conversions!$B$59</f>
        <v>0.11230256263839841</v>
      </c>
      <c r="F893" s="280">
        <f>H893*Conversions!$D$67</f>
        <v>0.007896178414143787</v>
      </c>
      <c r="G893" s="281">
        <f t="shared" si="118"/>
        <v>0.07742962138905635</v>
      </c>
      <c r="H893" s="282">
        <f>C893*Conversions!$B$50</f>
        <v>7.742962138905634</v>
      </c>
      <c r="J893" s="642">
        <v>154199</v>
      </c>
      <c r="K893">
        <f t="shared" si="121"/>
        <v>3</v>
      </c>
    </row>
    <row r="894" spans="1:11" ht="15">
      <c r="A894" s="562">
        <f t="shared" si="117"/>
        <v>108000</v>
      </c>
      <c r="B894" s="277">
        <f>A894*Conversions!B$35</f>
        <v>32918.408980141976</v>
      </c>
      <c r="C894" s="573">
        <f t="shared" si="119"/>
        <v>0.223520621756532</v>
      </c>
      <c r="D894" s="278">
        <f>C894*Conversions!$B$53</f>
        <v>5.677423762734736</v>
      </c>
      <c r="E894" s="279">
        <f>C894*Conversions!$B$59</f>
        <v>0.10978344686467062</v>
      </c>
      <c r="F894" s="280">
        <f>H894*Conversions!$D$67</f>
        <v>0.007719055228991847</v>
      </c>
      <c r="G894" s="281">
        <f t="shared" si="118"/>
        <v>0.07569275825777594</v>
      </c>
      <c r="H894" s="282">
        <f>C894*Conversions!$B$50</f>
        <v>7.569275825777593</v>
      </c>
      <c r="J894" s="517">
        <v>167323</v>
      </c>
      <c r="K894">
        <f t="shared" si="121"/>
        <v>3</v>
      </c>
    </row>
    <row r="895" spans="1:11" ht="15">
      <c r="A895" s="562">
        <f t="shared" si="117"/>
        <v>108500</v>
      </c>
      <c r="B895" s="277">
        <f>A895*Conversions!B$35</f>
        <v>33070.809021716705</v>
      </c>
      <c r="C895" s="573">
        <f t="shared" si="119"/>
        <v>0.21851000707969737</v>
      </c>
      <c r="D895" s="278">
        <f>C895*Conversions!$B$53</f>
        <v>5.5501541506129755</v>
      </c>
      <c r="E895" s="279">
        <f>C895*Conversions!$B$59</f>
        <v>0.10732245447027407</v>
      </c>
      <c r="F895" s="280">
        <f>H895*Conversions!$D$67</f>
        <v>0.007546018794511038</v>
      </c>
      <c r="G895" s="281">
        <f t="shared" si="118"/>
        <v>0.07399596964616575</v>
      </c>
      <c r="H895" s="282">
        <f>C895*Conversions!$B$50</f>
        <v>7.399596964616576</v>
      </c>
      <c r="J895" s="506">
        <v>232940</v>
      </c>
      <c r="K895">
        <f t="shared" si="121"/>
        <v>3</v>
      </c>
    </row>
    <row r="896" spans="1:11" ht="15">
      <c r="A896" s="562">
        <f t="shared" si="117"/>
        <v>109000</v>
      </c>
      <c r="B896" s="277">
        <f>A896*Conversions!B$35</f>
        <v>33223.20906329143</v>
      </c>
      <c r="C896" s="573">
        <f t="shared" si="119"/>
        <v>0.2136149261533325</v>
      </c>
      <c r="D896" s="278">
        <f>C896*Conversions!$B$53</f>
        <v>5.425819095737703</v>
      </c>
      <c r="E896" s="279">
        <f>C896*Conversions!$B$59</f>
        <v>0.10491820714600168</v>
      </c>
      <c r="F896" s="280">
        <f>H896*Conversions!$D$67</f>
        <v>0.007376972199507592</v>
      </c>
      <c r="G896" s="281">
        <f t="shared" si="118"/>
        <v>0.07233830524679247</v>
      </c>
      <c r="H896" s="282">
        <f>C896*Conversions!$B$50</f>
        <v>7.233830524679247</v>
      </c>
      <c r="J896" s="535">
        <v>280001</v>
      </c>
      <c r="K896">
        <f t="shared" si="121"/>
        <v>3</v>
      </c>
    </row>
    <row r="897" spans="1:11" ht="15">
      <c r="A897" s="562">
        <f t="shared" si="117"/>
        <v>109500</v>
      </c>
      <c r="B897" s="277">
        <f>A897*Conversions!B$35</f>
        <v>33375.60910486617</v>
      </c>
      <c r="C897" s="573">
        <f t="shared" si="119"/>
        <v>0.20883264106221844</v>
      </c>
      <c r="D897" s="278">
        <f>C897*Conversions!$B$53</f>
        <v>5.304349055062722</v>
      </c>
      <c r="E897" s="279">
        <f>C897*Conversions!$B$59</f>
        <v>0.10256936014894968</v>
      </c>
      <c r="F897" s="280">
        <f>H897*Conversions!$D$67</f>
        <v>0.007211820892889884</v>
      </c>
      <c r="G897" s="281">
        <f t="shared" si="118"/>
        <v>0.07071883789529347</v>
      </c>
      <c r="H897" s="282">
        <f>C897*Conversions!$B$50</f>
        <v>7.0718837895293465</v>
      </c>
      <c r="K897">
        <f t="shared" si="120"/>
        <v>3</v>
      </c>
    </row>
    <row r="898" spans="1:11" ht="15">
      <c r="A898" s="562">
        <f t="shared" si="117"/>
        <v>110000</v>
      </c>
      <c r="B898" s="277">
        <f>A898*Conversions!B$35</f>
        <v>33528.0091464409</v>
      </c>
      <c r="C898" s="573">
        <f t="shared" si="119"/>
        <v>0.20416048052459163</v>
      </c>
      <c r="D898" s="278">
        <f>C898*Conversions!$B$53</f>
        <v>5.185676178031595</v>
      </c>
      <c r="E898" s="279">
        <f>C898*Conversions!$B$59</f>
        <v>0.10027460146362147</v>
      </c>
      <c r="F898" s="280">
        <f>H898*Conversions!$D$67</f>
        <v>0.007050472624684274</v>
      </c>
      <c r="G898" s="281">
        <f t="shared" si="118"/>
        <v>0.06913666299198044</v>
      </c>
      <c r="H898" s="282">
        <f>C898*Conversions!$B$50</f>
        <v>6.913666299198044</v>
      </c>
      <c r="K898">
        <f t="shared" si="120"/>
        <v>3</v>
      </c>
    </row>
    <row r="899" spans="1:11" ht="15">
      <c r="A899" s="562">
        <f t="shared" si="117"/>
        <v>110500</v>
      </c>
      <c r="B899" s="277">
        <f>A899*Conversions!B$35</f>
        <v>33680.409188015634</v>
      </c>
      <c r="C899" s="573">
        <f t="shared" si="119"/>
        <v>0.19959583822792604</v>
      </c>
      <c r="D899" s="278">
        <f>C899*Conversions!$B$53</f>
        <v>5.0697342643065095</v>
      </c>
      <c r="E899" s="279">
        <f>C899*Conversions!$B$59</f>
        <v>0.09803265098453745</v>
      </c>
      <c r="F899" s="280">
        <f>H899*Conversions!$D$67</f>
        <v>0.006892837388563049</v>
      </c>
      <c r="G899" s="281">
        <f t="shared" si="118"/>
        <v>0.06759089793827067</v>
      </c>
      <c r="H899" s="282">
        <f>C899*Conversions!$B$50</f>
        <v>6.759089793827067</v>
      </c>
      <c r="K899">
        <f t="shared" si="120"/>
        <v>3</v>
      </c>
    </row>
    <row r="900" spans="1:11" ht="15">
      <c r="A900" s="562">
        <f t="shared" si="117"/>
        <v>111000</v>
      </c>
      <c r="B900" s="277">
        <f>A900*Conversions!B$35</f>
        <v>33832.80922959036</v>
      </c>
      <c r="C900" s="573">
        <f t="shared" si="119"/>
        <v>0.1951361712073328</v>
      </c>
      <c r="D900" s="278">
        <f>C900*Conversions!$B$53</f>
        <v>4.956458722579629</v>
      </c>
      <c r="E900" s="279">
        <f>C900*Conversions!$B$59</f>
        <v>0.0958422597197766</v>
      </c>
      <c r="F900" s="280">
        <f>H900*Conversions!$D$67</f>
        <v>0.00673882736584412</v>
      </c>
      <c r="G900" s="281">
        <f t="shared" si="118"/>
        <v>0.06608068158755011</v>
      </c>
      <c r="H900" s="282">
        <f>C900*Conversions!$B$50</f>
        <v>6.608068158755011</v>
      </c>
      <c r="K900">
        <f t="shared" si="120"/>
        <v>3</v>
      </c>
    </row>
    <row r="901" spans="1:11" ht="15">
      <c r="A901" s="562">
        <f t="shared" si="117"/>
        <v>111500</v>
      </c>
      <c r="B901" s="277">
        <f>A901*Conversions!B$35</f>
        <v>33985.20927116509</v>
      </c>
      <c r="C901" s="573">
        <f t="shared" si="119"/>
        <v>0.19077899826547387</v>
      </c>
      <c r="D901" s="278">
        <f>C901*Conversions!$B$53</f>
        <v>4.845786530438897</v>
      </c>
      <c r="E901" s="279">
        <f>C901*Conversions!$B$59</f>
        <v>0.09370220901490793</v>
      </c>
      <c r="F901" s="280">
        <f>H901*Conversions!$D$67</f>
        <v>0.00658835687092436</v>
      </c>
      <c r="G901" s="281">
        <f t="shared" si="118"/>
        <v>0.0646051737100949</v>
      </c>
      <c r="H901" s="282">
        <f>C901*Conversions!$B$50</f>
        <v>6.46051737100949</v>
      </c>
      <c r="K901">
        <f t="shared" si="120"/>
        <v>3</v>
      </c>
    </row>
    <row r="902" spans="1:11" ht="15">
      <c r="A902" s="562">
        <f t="shared" si="117"/>
        <v>112000</v>
      </c>
      <c r="B902" s="277">
        <f>A902*Conversions!B$35</f>
        <v>34137.60931273983</v>
      </c>
      <c r="C902" s="573">
        <f t="shared" si="119"/>
        <v>0.1865218984328877</v>
      </c>
      <c r="D902" s="278">
        <f>C902*Conversions!$B$53</f>
        <v>4.737656195260315</v>
      </c>
      <c r="E902" s="279">
        <f>C902*Conversions!$B$59</f>
        <v>0.0916113097967705</v>
      </c>
      <c r="F902" s="280">
        <f>H902*Conversions!$D$67</f>
        <v>0.006441342298108532</v>
      </c>
      <c r="G902" s="281">
        <f t="shared" si="118"/>
        <v>0.06316355447167782</v>
      </c>
      <c r="H902" s="282">
        <f>C902*Conversions!$B$50</f>
        <v>6.316355447167782</v>
      </c>
      <c r="K902">
        <f t="shared" si="120"/>
        <v>3</v>
      </c>
    </row>
    <row r="903" spans="1:11" ht="15">
      <c r="A903" s="562">
        <f t="shared" si="117"/>
        <v>112500</v>
      </c>
      <c r="B903" s="277">
        <f>A903*Conversions!B$35</f>
        <v>34290.009354314556</v>
      </c>
      <c r="C903" s="573">
        <f t="shared" si="119"/>
        <v>0.18236250946768082</v>
      </c>
      <c r="D903" s="278">
        <f>C903*Conversions!$B$53</f>
        <v>4.632007716100105</v>
      </c>
      <c r="E903" s="279">
        <f>C903*Conversions!$B$59</f>
        <v>0.08956840183658835</v>
      </c>
      <c r="F903" s="280">
        <f>H903*Conversions!$D$67</f>
        <v>0.006297702069797684</v>
      </c>
      <c r="G903" s="281">
        <f t="shared" si="118"/>
        <v>0.06175502392550568</v>
      </c>
      <c r="H903" s="282">
        <f>C903*Conversions!$B$50</f>
        <v>6.175502392550568</v>
      </c>
      <c r="K903">
        <f t="shared" si="120"/>
        <v>3</v>
      </c>
    </row>
    <row r="904" spans="1:11" ht="15">
      <c r="A904" s="562">
        <f t="shared" si="117"/>
        <v>113000</v>
      </c>
      <c r="B904" s="277">
        <f>A904*Conversions!B$35</f>
        <v>34442.409395889284</v>
      </c>
      <c r="C904" s="573">
        <f t="shared" si="119"/>
        <v>0.17829852639354493</v>
      </c>
      <c r="D904" s="278">
        <f>C904*Conversions!$B$53</f>
        <v>4.528782546560344</v>
      </c>
      <c r="E904" s="279">
        <f>C904*Conversions!$B$59</f>
        <v>0.08757235303190895</v>
      </c>
      <c r="F904" s="280">
        <f>H904*Conversions!$D$67</f>
        <v>0.0061573565860010586</v>
      </c>
      <c r="G904" s="281">
        <f t="shared" si="118"/>
        <v>0.060378801517135115</v>
      </c>
      <c r="H904" s="282">
        <f>C904*Conversions!$B$50</f>
        <v>6.0378801517135114</v>
      </c>
      <c r="K904">
        <f t="shared" si="120"/>
        <v>3</v>
      </c>
    </row>
    <row r="905" spans="1:11" ht="15">
      <c r="A905" s="562">
        <f t="shared" si="117"/>
        <v>113500</v>
      </c>
      <c r="B905" s="277">
        <f>A905*Conversions!B$35</f>
        <v>34594.80943746402</v>
      </c>
      <c r="C905" s="573">
        <f t="shared" si="119"/>
        <v>0.17432770007509527</v>
      </c>
      <c r="D905" s="278">
        <f>C905*Conversions!$B$53</f>
        <v>4.42792355860256</v>
      </c>
      <c r="E905" s="279">
        <f>C905*Conversions!$B$59</f>
        <v>0.08562205870687263</v>
      </c>
      <c r="F905" s="280">
        <f>H905*Conversions!$D$67</f>
        <v>0.006020228175136875</v>
      </c>
      <c r="G905" s="281">
        <f t="shared" si="118"/>
        <v>0.05903412560202688</v>
      </c>
      <c r="H905" s="282">
        <f>C905*Conversions!$B$50</f>
        <v>5.903412560202688</v>
      </c>
      <c r="K905">
        <f t="shared" si="120"/>
        <v>3</v>
      </c>
    </row>
    <row r="906" spans="1:11" ht="15">
      <c r="A906" s="562">
        <f t="shared" si="117"/>
        <v>114000</v>
      </c>
      <c r="B906" s="277">
        <f>A906*Conversions!B$35</f>
        <v>34747.20947903875</v>
      </c>
      <c r="C906" s="573">
        <f t="shared" si="119"/>
        <v>0.1704478358295593</v>
      </c>
      <c r="D906" s="278">
        <f>C906*Conversions!$B$53</f>
        <v>4.329375007284622</v>
      </c>
      <c r="E906" s="279">
        <f>C906*Conversions!$B$59</f>
        <v>0.08371644093033527</v>
      </c>
      <c r="F906" s="280">
        <f>H906*Conversions!$D$67</f>
        <v>0.0058862410460884225</v>
      </c>
      <c r="G906" s="281">
        <f t="shared" si="118"/>
        <v>0.05772025297540979</v>
      </c>
      <c r="H906" s="282">
        <f>C906*Conversions!$B$50</f>
        <v>5.772025297540979</v>
      </c>
      <c r="K906">
        <f t="shared" si="120"/>
        <v>3</v>
      </c>
    </row>
    <row r="907" spans="1:11" ht="15">
      <c r="A907" s="562">
        <f t="shared" si="117"/>
        <v>114500</v>
      </c>
      <c r="B907" s="277">
        <f>A907*Conversions!B$35</f>
        <v>34899.60952061348</v>
      </c>
      <c r="C907" s="573">
        <f t="shared" si="119"/>
        <v>0.16665679207386475</v>
      </c>
      <c r="D907" s="278">
        <f>C907*Conversions!$B$53</f>
        <v>4.233082496396783</v>
      </c>
      <c r="E907" s="279">
        <f>C907*Conversions!$B$59</f>
        <v>0.0818544478513778</v>
      </c>
      <c r="F907" s="280">
        <f>H907*Conversions!$D$67</f>
        <v>0.005755321241482628</v>
      </c>
      <c r="G907" s="281">
        <f t="shared" si="118"/>
        <v>0.05643645841413211</v>
      </c>
      <c r="H907" s="282">
        <f>C907*Conversions!$B$50</f>
        <v>5.643645841413211</v>
      </c>
      <c r="K907">
        <f t="shared" si="120"/>
        <v>3</v>
      </c>
    </row>
    <row r="908" spans="1:11" ht="15">
      <c r="A908" s="562">
        <f t="shared" si="117"/>
        <v>115000</v>
      </c>
      <c r="B908" s="277">
        <f>A908*Conversions!B$35</f>
        <v>35052.009562188214</v>
      </c>
      <c r="C908" s="573">
        <f t="shared" si="119"/>
        <v>0.1629524790061967</v>
      </c>
      <c r="D908" s="278">
        <f>C908*Conversions!$B$53</f>
        <v>4.138992944973223</v>
      </c>
      <c r="E908" s="279">
        <f>C908*Conversions!$B$59</f>
        <v>0.08003505305174537</v>
      </c>
      <c r="F908" s="280">
        <f>H908*Conversions!$D$67</f>
        <v>0.005627396592158989</v>
      </c>
      <c r="G908" s="281">
        <f t="shared" si="118"/>
        <v>0.055182034230185764</v>
      </c>
      <c r="H908" s="282">
        <f>C908*Conversions!$B$50</f>
        <v>5.518203423018576</v>
      </c>
      <c r="K908">
        <f t="shared" si="120"/>
        <v>3</v>
      </c>
    </row>
    <row r="909" spans="1:11" ht="15">
      <c r="A909" s="562">
        <f t="shared" si="117"/>
        <v>115500</v>
      </c>
      <c r="B909" s="277">
        <f>A909*Conversions!B$35</f>
        <v>35204.40960376294</v>
      </c>
      <c r="C909" s="573">
        <f t="shared" si="119"/>
        <v>0.15933285732112823</v>
      </c>
      <c r="D909" s="278">
        <f>C909*Conversions!$B$53</f>
        <v>4.04705455465637</v>
      </c>
      <c r="E909" s="279">
        <f>C909*Conversions!$B$59</f>
        <v>0.07825725491477634</v>
      </c>
      <c r="F909" s="280">
        <f>H909*Conversions!$D$67</f>
        <v>0.005502396672797932</v>
      </c>
      <c r="G909" s="281">
        <f t="shared" si="118"/>
        <v>0.053956289835599566</v>
      </c>
      <c r="H909" s="282">
        <f>C909*Conversions!$B$50</f>
        <v>5.3956289835599565</v>
      </c>
      <c r="K909">
        <f t="shared" si="120"/>
        <v>3</v>
      </c>
    </row>
    <row r="910" spans="1:11" ht="15">
      <c r="A910" s="562">
        <f t="shared" si="117"/>
        <v>116000</v>
      </c>
      <c r="B910" s="277">
        <f>A910*Conversions!B$35</f>
        <v>35356.80964533768</v>
      </c>
      <c r="C910" s="573">
        <f t="shared" si="119"/>
        <v>0.15579593695744756</v>
      </c>
      <c r="D910" s="278">
        <f>C910*Conversions!$B$53</f>
        <v>3.957216777891712</v>
      </c>
      <c r="E910" s="279">
        <f>C910*Conversions!$B$59</f>
        <v>0.07652007601039025</v>
      </c>
      <c r="F910" s="280">
        <f>H910*Conversions!$D$67</f>
        <v>0.005380252758678298</v>
      </c>
      <c r="G910" s="281">
        <f t="shared" si="118"/>
        <v>0.052758551318404956</v>
      </c>
      <c r="H910" s="282">
        <f>C910*Conversions!$B$50</f>
        <v>5.275855131840496</v>
      </c>
      <c r="K910">
        <f t="shared" si="120"/>
        <v>3</v>
      </c>
    </row>
    <row r="911" spans="1:11" ht="15">
      <c r="A911" s="562">
        <f t="shared" si="117"/>
        <v>116500</v>
      </c>
      <c r="B911" s="277">
        <f>A911*Conversions!B$35</f>
        <v>35509.20968691241</v>
      </c>
      <c r="C911" s="573">
        <f t="shared" si="119"/>
        <v>0.15233977587782763</v>
      </c>
      <c r="D911" s="278">
        <f>C911*Conversions!$B$53</f>
        <v>3.8694302869313995</v>
      </c>
      <c r="E911" s="279">
        <f>C911*Conversions!$B$59</f>
        <v>0.07482256249571557</v>
      </c>
      <c r="F911" s="280">
        <f>H911*Conversions!$D$67</f>
        <v>0.005260897783534495</v>
      </c>
      <c r="G911" s="281">
        <f t="shared" si="118"/>
        <v>0.051588161029384745</v>
      </c>
      <c r="H911" s="282">
        <f>C911*Conversions!$B$50</f>
        <v>5.1588161029384745</v>
      </c>
      <c r="K911">
        <f t="shared" si="120"/>
        <v>3</v>
      </c>
    </row>
    <row r="912" spans="1:11" ht="15">
      <c r="A912" s="562">
        <f t="shared" si="117"/>
        <v>117000</v>
      </c>
      <c r="B912" s="277">
        <f>A912*Conversions!B$35</f>
        <v>35661.609728487136</v>
      </c>
      <c r="C912" s="573">
        <f t="shared" si="119"/>
        <v>0.1489624788795111</v>
      </c>
      <c r="D912" s="278">
        <f>C912*Conversions!$B$53</f>
        <v>3.783646943625651</v>
      </c>
      <c r="E912" s="279">
        <f>C912*Conversions!$B$59</f>
        <v>0.07316378353095074</v>
      </c>
      <c r="F912" s="280">
        <f>H912*Conversions!$D$67</f>
        <v>0.0051442662984847185</v>
      </c>
      <c r="G912" s="281">
        <f t="shared" si="118"/>
        <v>0.05044447717932488</v>
      </c>
      <c r="H912" s="282">
        <f>C912*Conversions!$B$50</f>
        <v>5.0444477179324885</v>
      </c>
      <c r="K912">
        <f t="shared" si="120"/>
        <v>3</v>
      </c>
    </row>
    <row r="913" spans="1:11" ht="15">
      <c r="A913" s="562">
        <f t="shared" si="117"/>
        <v>117500</v>
      </c>
      <c r="B913" s="277">
        <f>A913*Conversions!B$35</f>
        <v>35814.00977006187</v>
      </c>
      <c r="C913" s="573">
        <f t="shared" si="119"/>
        <v>0.14566219643519732</v>
      </c>
      <c r="D913" s="278">
        <f>C913*Conversions!$B$53</f>
        <v>3.6998197699812763</v>
      </c>
      <c r="E913" s="279">
        <f>C913*Conversions!$B$59</f>
        <v>0.07154283071005899</v>
      </c>
      <c r="F913" s="280">
        <f>H913*Conversions!$D$67</f>
        <v>0.0050302944320021765</v>
      </c>
      <c r="G913" s="281">
        <f t="shared" si="118"/>
        <v>0.0493268734464938</v>
      </c>
      <c r="H913" s="282">
        <f>C913*Conversions!$B$50</f>
        <v>4.93268734464938</v>
      </c>
      <c r="K913">
        <f t="shared" si="120"/>
        <v>3</v>
      </c>
    </row>
    <row r="914" spans="1:11" ht="15">
      <c r="A914" s="562">
        <f t="shared" si="117"/>
        <v>118000</v>
      </c>
      <c r="B914" s="277">
        <f>A914*Conversions!B$35</f>
        <v>35966.4098116366</v>
      </c>
      <c r="C914" s="573">
        <f t="shared" si="119"/>
        <v>0.14243712356335364</v>
      </c>
      <c r="D914" s="278">
        <f>C914*Conversions!$B$53</f>
        <v>3.6179029194675882</v>
      </c>
      <c r="E914" s="279">
        <f>C914*Conversions!$B$59</f>
        <v>0.06995881750591536</v>
      </c>
      <c r="F914" s="280">
        <f>H914*Conversions!$D$67</f>
        <v>0.004918919850902447</v>
      </c>
      <c r="G914" s="281">
        <f t="shared" si="118"/>
        <v>0.048234738594085974</v>
      </c>
      <c r="H914" s="282">
        <f>C914*Conversions!$B$50</f>
        <v>4.8234738594085975</v>
      </c>
      <c r="K914">
        <f t="shared" si="120"/>
        <v>3</v>
      </c>
    </row>
    <row r="915" spans="1:11" ht="15">
      <c r="A915" s="562">
        <f t="shared" si="117"/>
        <v>118500</v>
      </c>
      <c r="B915" s="277">
        <f>A915*Conversions!B$35</f>
        <v>36118.80985321133</v>
      </c>
      <c r="C915" s="573">
        <f t="shared" si="119"/>
        <v>0.13928549872717583</v>
      </c>
      <c r="D915" s="278">
        <f>C915*Conversions!$B$53</f>
        <v>3.5378516490499945</v>
      </c>
      <c r="E915" s="279">
        <f>C915*Conversions!$B$59</f>
        <v>0.06841087872952463</v>
      </c>
      <c r="F915" s="280">
        <f>H915*Conversions!$D$67</f>
        <v>0.0048100817223202105</v>
      </c>
      <c r="G915" s="281">
        <f t="shared" si="118"/>
        <v>0.0471674760973672</v>
      </c>
      <c r="H915" s="282">
        <f>C915*Conversions!$B$50</f>
        <v>4.71674760973672</v>
      </c>
      <c r="K915">
        <f t="shared" si="120"/>
        <v>3</v>
      </c>
    </row>
    <row r="916" spans="1:11" ht="15">
      <c r="A916" s="562">
        <f t="shared" si="117"/>
        <v>119000</v>
      </c>
      <c r="B916" s="277">
        <f>A916*Conversions!B$35</f>
        <v>36271.209894786065</v>
      </c>
      <c r="C916" s="573">
        <f t="shared" si="119"/>
        <v>0.1362056027614619</v>
      </c>
      <c r="D916" s="278">
        <f>C916*Conversions!$B$53</f>
        <v>3.459622291932594</v>
      </c>
      <c r="E916" s="279">
        <f>C916*Conversions!$B$59</f>
        <v>0.0668981700029492</v>
      </c>
      <c r="F916" s="280">
        <f>H916*Conversions!$D$67</f>
        <v>0.004703720676649935</v>
      </c>
      <c r="G916" s="281">
        <f t="shared" si="118"/>
        <v>0.04612450378027238</v>
      </c>
      <c r="H916" s="282">
        <f>C916*Conversions!$B$50</f>
        <v>4.612450378027238</v>
      </c>
      <c r="K916">
        <f t="shared" si="120"/>
        <v>3</v>
      </c>
    </row>
    <row r="917" spans="1:11" ht="15">
      <c r="A917" s="562">
        <f t="shared" si="117"/>
        <v>119500</v>
      </c>
      <c r="B917" s="277">
        <f>A917*Conversions!B$35</f>
        <v>36423.609936360794</v>
      </c>
      <c r="C917" s="573">
        <f t="shared" si="119"/>
        <v>0.13319575782666956</v>
      </c>
      <c r="D917" s="278">
        <f>C917*Conversions!$B$53</f>
        <v>3.3831722309912373</v>
      </c>
      <c r="E917" s="279">
        <f>C917*Conversions!$B$59</f>
        <v>0.06541986724558845</v>
      </c>
      <c r="F917" s="280">
        <f>H917*Conversions!$D$67</f>
        <v>0.004599778771425324</v>
      </c>
      <c r="G917" s="281">
        <f t="shared" si="118"/>
        <v>0.04510525346120883</v>
      </c>
      <c r="H917" s="282">
        <f>C917*Conversions!$B$50</f>
        <v>4.510525346120883</v>
      </c>
      <c r="K917">
        <f t="shared" si="120"/>
        <v>3</v>
      </c>
    </row>
    <row r="918" spans="1:11" ht="15">
      <c r="A918" s="562">
        <f t="shared" si="117"/>
        <v>120000</v>
      </c>
      <c r="B918" s="277">
        <f>A918*Conversions!B$35</f>
        <v>36576.00997793553</v>
      </c>
      <c r="C918" s="573">
        <f t="shared" si="119"/>
        <v>0.1302543263894481</v>
      </c>
      <c r="D918" s="278">
        <f>C918*Conversions!$B$53</f>
        <v>3.308459872879035</v>
      </c>
      <c r="E918" s="279">
        <f>C918*Conversions!$B$59</f>
        <v>0.06397516617346091</v>
      </c>
      <c r="F918" s="280">
        <f>H918*Conversions!$D$67</f>
        <v>0.004498199456113036</v>
      </c>
      <c r="G918" s="281">
        <f t="shared" si="118"/>
        <v>0.044109170607824766</v>
      </c>
      <c r="H918" s="282">
        <f>C918*Conversions!$B$50</f>
        <v>4.410917060782476</v>
      </c>
      <c r="K918">
        <f t="shared" si="120"/>
        <v>3</v>
      </c>
    </row>
    <row r="919" spans="1:11" ht="15">
      <c r="A919" s="562">
        <f t="shared" si="117"/>
        <v>120500</v>
      </c>
      <c r="B919" s="277">
        <f>A919*Conversions!B$35</f>
        <v>36728.41001951026</v>
      </c>
      <c r="C919" s="573">
        <f t="shared" si="119"/>
        <v>0.12737971022896788</v>
      </c>
      <c r="D919" s="278">
        <f>C919*Conversions!$B$53</f>
        <v>3.2354446227871283</v>
      </c>
      <c r="E919" s="279">
        <f>C919*Conversions!$B$59</f>
        <v>0.06256328181115742</v>
      </c>
      <c r="F919" s="280">
        <f>H919*Conversions!$D$67</f>
        <v>0.00439892753779729</v>
      </c>
      <c r="G919" s="281">
        <f t="shared" si="118"/>
        <v>0.043135714000513914</v>
      </c>
      <c r="H919" s="282">
        <f>C919*Conversions!$B$50</f>
        <v>4.313571400051392</v>
      </c>
      <c r="K919">
        <f t="shared" si="120"/>
        <v>3</v>
      </c>
    </row>
    <row r="920" spans="1:11" ht="15">
      <c r="A920" s="562">
        <f t="shared" si="117"/>
        <v>121000</v>
      </c>
      <c r="B920" s="277">
        <f>A920*Conversions!B$35</f>
        <v>36880.81006108499</v>
      </c>
      <c r="C920" s="573">
        <f t="shared" si="119"/>
        <v>0.12457034946836826</v>
      </c>
      <c r="D920" s="278">
        <f>C920*Conversions!$B$53</f>
        <v>3.164086859843465</v>
      </c>
      <c r="E920" s="279">
        <f>C920*Conversions!$B$59</f>
        <v>0.061183448016131</v>
      </c>
      <c r="F920" s="280">
        <f>H920*Conversions!$D$67</f>
        <v>0.004301909147731912</v>
      </c>
      <c r="G920" s="281">
        <f t="shared" si="118"/>
        <v>0.0421843554044262</v>
      </c>
      <c r="H920" s="282">
        <f>C920*Conversions!$B$50</f>
        <v>4.21843554044262</v>
      </c>
      <c r="K920">
        <f t="shared" si="120"/>
        <v>3</v>
      </c>
    </row>
    <row r="921" spans="1:11" ht="15">
      <c r="A921" s="562">
        <f t="shared" si="117"/>
        <v>121500</v>
      </c>
      <c r="B921" s="277">
        <f>A921*Conversions!B$35</f>
        <v>37033.21010265972</v>
      </c>
      <c r="C921" s="573">
        <f t="shared" si="119"/>
        <v>0.12182472163067949</v>
      </c>
      <c r="D921" s="278">
        <f>C921*Conversions!$B$53</f>
        <v>3.0943479131332174</v>
      </c>
      <c r="E921" s="279">
        <f>C921*Conversions!$B$59</f>
        <v>0.05983491701500758</v>
      </c>
      <c r="F921" s="280">
        <f>H921*Conversions!$D$67</f>
        <v>0.004207091708737572</v>
      </c>
      <c r="G921" s="281">
        <f t="shared" si="118"/>
        <v>0.04125457924976622</v>
      </c>
      <c r="H921" s="282">
        <f>C921*Conversions!$B$50</f>
        <v>4.125457924976622</v>
      </c>
      <c r="K921">
        <f t="shared" si="120"/>
        <v>3</v>
      </c>
    </row>
    <row r="922" spans="1:11" ht="15">
      <c r="A922" s="562">
        <f t="shared" si="117"/>
        <v>122000</v>
      </c>
      <c r="B922" s="277">
        <f>A922*Conversions!B$35</f>
        <v>37185.61014423445</v>
      </c>
      <c r="C922" s="573">
        <f t="shared" si="119"/>
        <v>0.11914134071858132</v>
      </c>
      <c r="D922" s="278">
        <f>C922*Conversions!$B$53</f>
        <v>3.02619003832465</v>
      </c>
      <c r="E922" s="279">
        <f>C922*Conversions!$B$59</f>
        <v>0.05851695895160401</v>
      </c>
      <c r="F922" s="280">
        <f>H922*Conversions!$D$67</f>
        <v>0.004114423903422186</v>
      </c>
      <c r="G922" s="281">
        <f t="shared" si="118"/>
        <v>0.04034588232016383</v>
      </c>
      <c r="H922" s="282">
        <f>C922*Conversions!$B$50</f>
        <v>4.034588232016383</v>
      </c>
      <c r="K922">
        <f t="shared" si="120"/>
        <v>3</v>
      </c>
    </row>
    <row r="923" spans="1:11" ht="15">
      <c r="A923" s="562">
        <f t="shared" si="117"/>
        <v>122500</v>
      </c>
      <c r="B923" s="277">
        <f>A923*Conversions!B$35</f>
        <v>37338.01018580918</v>
      </c>
      <c r="C923" s="573">
        <f t="shared" si="119"/>
        <v>0.11651875631738362</v>
      </c>
      <c r="D923" s="278">
        <f>C923*Conversions!$B$53</f>
        <v>2.9595763948848264</v>
      </c>
      <c r="E923" s="279">
        <f>C923*Conversions!$B$59</f>
        <v>0.05722886144635184</v>
      </c>
      <c r="F923" s="280">
        <f>H923*Conversions!$D$67</f>
        <v>0.004023855643203279</v>
      </c>
      <c r="G923" s="281">
        <f t="shared" si="118"/>
        <v>0.03945777344890856</v>
      </c>
      <c r="H923" s="282">
        <f>C923*Conversions!$B$50</f>
        <v>3.9457773448908555</v>
      </c>
      <c r="K923">
        <f t="shared" si="120"/>
        <v>3</v>
      </c>
    </row>
    <row r="924" spans="1:11" ht="15">
      <c r="A924" s="562">
        <f t="shared" si="117"/>
        <v>123000</v>
      </c>
      <c r="B924" s="277">
        <f>A924*Conversions!B$35</f>
        <v>37490.410227383916</v>
      </c>
      <c r="C924" s="573">
        <f t="shared" si="119"/>
        <v>0.11395555272062936</v>
      </c>
      <c r="D924" s="278">
        <f>C924*Conversions!$B$53</f>
        <v>2.894471023869928</v>
      </c>
      <c r="E924" s="279">
        <f>C924*Conversions!$B$59</f>
        <v>0.05596992916683218</v>
      </c>
      <c r="F924" s="280">
        <f>H924*Conversions!$D$67</f>
        <v>0.003935338038111575</v>
      </c>
      <c r="G924" s="281">
        <f t="shared" si="118"/>
        <v>0.03858977322284479</v>
      </c>
      <c r="H924" s="282">
        <f>C924*Conversions!$B$50</f>
        <v>3.8589773222844794</v>
      </c>
      <c r="K924">
        <f t="shared" si="120"/>
        <v>3</v>
      </c>
    </row>
    <row r="925" spans="1:11" ht="15">
      <c r="A925" s="562">
        <f t="shared" si="117"/>
        <v>123500</v>
      </c>
      <c r="B925" s="277">
        <f>A925*Conversions!B$35</f>
        <v>37642.810268958645</v>
      </c>
      <c r="C925" s="573">
        <f t="shared" si="119"/>
        <v>0.11145034807772834</v>
      </c>
      <c r="D925" s="278">
        <f>C925*Conversions!$B$53</f>
        <v>2.8308388262751483</v>
      </c>
      <c r="E925" s="279">
        <f>C925*Conversions!$B$59</f>
        <v>0.05473948340913102</v>
      </c>
      <c r="F925" s="280">
        <f>H925*Conversions!$D$67</f>
        <v>0.0038488233673554095</v>
      </c>
      <c r="G925" s="281">
        <f t="shared" si="118"/>
        <v>0.03774141369372755</v>
      </c>
      <c r="H925" s="282">
        <f>C925*Conversions!$B$50</f>
        <v>3.7741413693727552</v>
      </c>
      <c r="K925">
        <f t="shared" si="120"/>
        <v>3</v>
      </c>
    </row>
    <row r="926" spans="1:11" ht="15">
      <c r="A926" s="562">
        <f t="shared" si="117"/>
        <v>124000</v>
      </c>
      <c r="B926" s="277">
        <f>A926*Conversions!B$35</f>
        <v>37795.21031053338</v>
      </c>
      <c r="C926" s="573">
        <f t="shared" si="119"/>
        <v>0.10900179356306565</v>
      </c>
      <c r="D926" s="278">
        <f>C926*Conversions!$B$53</f>
        <v>2.768645541930049</v>
      </c>
      <c r="E926" s="279">
        <f>C926*Conversions!$B$59</f>
        <v>0.0535368616897421</v>
      </c>
      <c r="F926" s="280">
        <f>H926*Conversions!$D$67</f>
        <v>0.0037642650506267373</v>
      </c>
      <c r="G926" s="281">
        <f t="shared" si="118"/>
        <v>0.03691223809685029</v>
      </c>
      <c r="H926" s="282">
        <f>C926*Conversions!$B$50</f>
        <v>3.691223809685029</v>
      </c>
      <c r="K926">
        <f t="shared" si="120"/>
        <v>3</v>
      </c>
    </row>
    <row r="927" spans="1:11" ht="15">
      <c r="A927" s="562">
        <f t="shared" si="117"/>
        <v>124500</v>
      </c>
      <c r="B927" s="277">
        <f>A927*Conversions!B$35</f>
        <v>37947.61035210811</v>
      </c>
      <c r="C927" s="573">
        <f t="shared" si="119"/>
        <v>0.10660857256601561</v>
      </c>
      <c r="D927" s="278">
        <f>C927*Conversions!$B$53</f>
        <v>2.707857728924914</v>
      </c>
      <c r="E927" s="279">
        <f>C927*Conversions!$B$59</f>
        <v>0.05236141734773754</v>
      </c>
      <c r="F927" s="280">
        <f>H927*Conversions!$D$67</f>
        <v>0.0036816176201290973</v>
      </c>
      <c r="G927" s="281">
        <f t="shared" si="118"/>
        <v>0.03610180057675222</v>
      </c>
      <c r="H927" s="282">
        <f>C927*Conversions!$B$50</f>
        <v>3.610180057675222</v>
      </c>
      <c r="K927">
        <f t="shared" si="120"/>
        <v>3</v>
      </c>
    </row>
    <row r="928" spans="1:11" ht="15">
      <c r="A928" s="562">
        <f t="shared" si="117"/>
        <v>125000</v>
      </c>
      <c r="B928" s="277">
        <f>A928*Conversions!B$35</f>
        <v>38100.01039368284</v>
      </c>
      <c r="C928" s="573">
        <f t="shared" si="119"/>
        <v>0.1042693999013343</v>
      </c>
      <c r="D928" s="278">
        <f>C928*Conversions!$B$53</f>
        <v>2.648442743554719</v>
      </c>
      <c r="E928" s="279">
        <f>C928*Conversions!$B$59</f>
        <v>0.051212519156947564</v>
      </c>
      <c r="F928" s="280">
        <f>H928*Conversions!$D$67</f>
        <v>0.003600836693309331</v>
      </c>
      <c r="G928" s="281">
        <f t="shared" si="118"/>
        <v>0.035309665919826566</v>
      </c>
      <c r="H928" s="282">
        <f>C928*Conversions!$B$50</f>
        <v>3.5309665919826565</v>
      </c>
      <c r="K928">
        <f t="shared" si="120"/>
        <v>3</v>
      </c>
    </row>
    <row r="929" spans="1:11" ht="15">
      <c r="A929" s="562">
        <f t="shared" si="117"/>
        <v>125500</v>
      </c>
      <c r="B929" s="277">
        <f>A929*Conversions!B$35</f>
        <v>38252.410435257574</v>
      </c>
      <c r="C929" s="573">
        <f t="shared" si="119"/>
        <v>0.1019830210393956</v>
      </c>
      <c r="D929" s="278">
        <f>C929*Conversions!$B$53</f>
        <v>2.590368720767129</v>
      </c>
      <c r="E929" s="279">
        <f>C929*Conversions!$B$59</f>
        <v>0.05008955094788648</v>
      </c>
      <c r="F929" s="280">
        <f>H929*Conversions!$D$67</f>
        <v>0.003521878946274572</v>
      </c>
      <c r="G929" s="281">
        <f t="shared" si="118"/>
        <v>0.034535409293648595</v>
      </c>
      <c r="H929" s="282">
        <f>C929*Conversions!$B$50</f>
        <v>3.4535409293648596</v>
      </c>
      <c r="K929">
        <f t="shared" si="120"/>
        <v>3</v>
      </c>
    </row>
    <row r="930" spans="1:11" ht="15">
      <c r="A930" s="562">
        <f t="shared" si="117"/>
        <v>126000</v>
      </c>
      <c r="B930" s="277">
        <f>A930*Conversions!B$35</f>
        <v>38404.8104768323</v>
      </c>
      <c r="C930" s="573">
        <f t="shared" si="119"/>
        <v>0.09974821135577128</v>
      </c>
      <c r="D930" s="278">
        <f>C930*Conversions!$B$53</f>
        <v>2.53360455510183</v>
      </c>
      <c r="E930" s="279">
        <f>C930*Conversions!$B$59</f>
        <v>0.04899191123917959</v>
      </c>
      <c r="F930" s="280">
        <f>H930*Conversions!$D$67</f>
        <v>0.003444702087877265</v>
      </c>
      <c r="G930" s="281">
        <f t="shared" si="118"/>
        <v>0.03377861599285433</v>
      </c>
      <c r="H930" s="282">
        <f>C930*Conversions!$B$50</f>
        <v>3.377861599285433</v>
      </c>
      <c r="K930">
        <f t="shared" si="120"/>
        <v>3</v>
      </c>
    </row>
    <row r="931" spans="1:11" ht="15">
      <c r="A931" s="562">
        <f t="shared" si="117"/>
        <v>126500</v>
      </c>
      <c r="B931" s="277">
        <f>A931*Conversions!B$35</f>
        <v>38557.21051840703</v>
      </c>
      <c r="C931" s="573">
        <f t="shared" si="119"/>
        <v>0.09756377539963956</v>
      </c>
      <c r="D931" s="278">
        <f>C931*Conversions!$B$53</f>
        <v>2.4781198821081087</v>
      </c>
      <c r="E931" s="279">
        <f>C931*Conversions!$B$59</f>
        <v>0.04791901287823785</v>
      </c>
      <c r="F931" s="280">
        <f>H931*Conversions!$D$67</f>
        <v>0.003369264834450407</v>
      </c>
      <c r="G931" s="281">
        <f t="shared" si="118"/>
        <v>0.03303888119139528</v>
      </c>
      <c r="H931" s="282">
        <f>C931*Conversions!$B$50</f>
        <v>3.303888119139528</v>
      </c>
      <c r="K931">
        <f t="shared" si="120"/>
        <v>3</v>
      </c>
    </row>
    <row r="932" spans="1:11" ht="15">
      <c r="A932" s="562">
        <f t="shared" si="117"/>
        <v>127000</v>
      </c>
      <c r="B932" s="277">
        <f>A932*Conversions!B$35</f>
        <v>38709.61055998177</v>
      </c>
      <c r="C932" s="573">
        <f t="shared" si="119"/>
        <v>0.09542854618055949</v>
      </c>
      <c r="D932" s="278">
        <f>C932*Conversions!$B$53</f>
        <v>2.4238850602289213</v>
      </c>
      <c r="E932" s="279">
        <f>C932*Conversions!$B$59</f>
        <v>0.046870282690952926</v>
      </c>
      <c r="F932" s="280">
        <f>H932*Conversions!$D$67</f>
        <v>0.003295526885177033</v>
      </c>
      <c r="G932" s="281">
        <f t="shared" si="118"/>
        <v>0.03231580970101256</v>
      </c>
      <c r="H932" s="282">
        <f>C932*Conversions!$B$50</f>
        <v>3.231580970101256</v>
      </c>
      <c r="K932">
        <f t="shared" si="120"/>
        <v>3</v>
      </c>
    </row>
    <row r="933" spans="1:11" ht="15">
      <c r="A933" s="562">
        <f t="shared" si="117"/>
        <v>127500</v>
      </c>
      <c r="B933" s="277">
        <f>A933*Conversions!B$35</f>
        <v>38862.010601556496</v>
      </c>
      <c r="C933" s="573">
        <f t="shared" si="119"/>
        <v>0.09334138447311917</v>
      </c>
      <c r="D933" s="278">
        <f>C933*Conversions!$B$53</f>
        <v>2.3708711531389577</v>
      </c>
      <c r="E933" s="279">
        <f>C933*Conversions!$B$59</f>
        <v>0.04584516114017121</v>
      </c>
      <c r="F933" s="280">
        <f>H933*Conversions!$D$67</f>
        <v>0.0032234488980769547</v>
      </c>
      <c r="G933" s="281">
        <f t="shared" si="118"/>
        <v>0.0316090157357638</v>
      </c>
      <c r="H933" s="282">
        <f>C933*Conversions!$B$50</f>
        <v>3.16090157357638</v>
      </c>
      <c r="K933">
        <f t="shared" si="120"/>
        <v>3</v>
      </c>
    </row>
    <row r="934" spans="1:11" ht="15">
      <c r="A934" s="562">
        <f t="shared" si="117"/>
        <v>128000</v>
      </c>
      <c r="B934" s="277">
        <f>A934*Conversions!B$35</f>
        <v>39014.410643131225</v>
      </c>
      <c r="C934" s="573">
        <f t="shared" si="119"/>
        <v>0.09130117813900981</v>
      </c>
      <c r="D934" s="278">
        <f>C934*Conversions!$B$53</f>
        <v>2.3190499125253234</v>
      </c>
      <c r="E934" s="279">
        <f>C934*Conversions!$B$59</f>
        <v>0.044843101992726515</v>
      </c>
      <c r="F934" s="280">
        <f>H934*Conversions!$D$67</f>
        <v>0.0031529924665952857</v>
      </c>
      <c r="G934" s="281">
        <f t="shared" si="118"/>
        <v>0.030918122682451105</v>
      </c>
      <c r="H934" s="282">
        <f>C934*Conversions!$B$50</f>
        <v>3.0918122682451106</v>
      </c>
      <c r="K934">
        <f t="shared" si="120"/>
        <v>3</v>
      </c>
    </row>
    <row r="935" spans="1:11" ht="15">
      <c r="A935" s="562">
        <f t="shared" si="117"/>
        <v>128500</v>
      </c>
      <c r="B935" s="277">
        <f>A935*Conversions!B$35</f>
        <v>39166.81068470596</v>
      </c>
      <c r="C935" s="573">
        <f t="shared" si="119"/>
        <v>0.08930684146607651</v>
      </c>
      <c r="D935" s="278">
        <f>C935*Conversions!$B$53</f>
        <v>2.268393761299429</v>
      </c>
      <c r="E935" s="279">
        <f>C935*Conversions!$B$59</f>
        <v>0.04386357199481106</v>
      </c>
      <c r="F935" s="280">
        <f>H935*Conversions!$D$67</f>
        <v>0.0030841200967772374</v>
      </c>
      <c r="G935" s="281">
        <f t="shared" si="118"/>
        <v>0.030242762876797977</v>
      </c>
      <c r="H935" s="282">
        <f>C935*Conversions!$B$50</f>
        <v>3.0242762876797977</v>
      </c>
      <c r="K935">
        <f t="shared" si="120"/>
        <v>3</v>
      </c>
    </row>
    <row r="936" spans="1:11" ht="15">
      <c r="A936" s="562">
        <f aca="true" t="shared" si="122" ref="A936:A943">A935+500</f>
        <v>129000</v>
      </c>
      <c r="B936" s="277">
        <f>A936*Conversions!B$35</f>
        <v>39319.21072628069</v>
      </c>
      <c r="C936" s="573">
        <f t="shared" si="119"/>
        <v>0.08735731452390712</v>
      </c>
      <c r="D936" s="278">
        <f>C936*Conversions!$B$53</f>
        <v>2.2188757772289476</v>
      </c>
      <c r="E936" s="279">
        <f>C936*Conversions!$B$59</f>
        <v>0.04290605055546922</v>
      </c>
      <c r="F936" s="280">
        <f>H936*Conversions!$D$67</f>
        <v>0.0030167951850140415</v>
      </c>
      <c r="G936" s="281">
        <f aca="true" t="shared" si="123" ref="G936:G999">H936/100</f>
        <v>0.02958257738522672</v>
      </c>
      <c r="H936" s="282">
        <f>C936*Conversions!$B$50</f>
        <v>2.958257738522672</v>
      </c>
      <c r="K936">
        <f t="shared" si="120"/>
        <v>3</v>
      </c>
    </row>
    <row r="937" spans="1:11" ht="15">
      <c r="A937" s="562">
        <f t="shared" si="122"/>
        <v>129500</v>
      </c>
      <c r="B937" s="277">
        <f>A937*Conversions!B$35</f>
        <v>39471.610767855425</v>
      </c>
      <c r="C937" s="573">
        <f t="shared" si="119"/>
        <v>0.08545156253553707</v>
      </c>
      <c r="D937" s="278">
        <f>C937*Conversions!$B$53</f>
        <v>2.170469676979117</v>
      </c>
      <c r="E937" s="279">
        <f>C937*Conversions!$B$59</f>
        <v>0.04197002943800671</v>
      </c>
      <c r="F937" s="280">
        <f>H937*Conversions!$D$67</f>
        <v>0.002950981996345424</v>
      </c>
      <c r="G937" s="281">
        <f t="shared" si="123"/>
        <v>0.028937215792093296</v>
      </c>
      <c r="H937" s="282">
        <f>C937*Conversions!$B$50</f>
        <v>2.8937215792093296</v>
      </c>
      <c r="K937">
        <f t="shared" si="120"/>
        <v>3</v>
      </c>
    </row>
    <row r="938" spans="1:11" ht="15">
      <c r="A938" s="562">
        <f t="shared" si="122"/>
        <v>130000</v>
      </c>
      <c r="B938" s="277">
        <f>A938*Conversions!B$35</f>
        <v>39624.010809430154</v>
      </c>
      <c r="C938" s="573">
        <f t="shared" si="119"/>
        <v>0.08358857526485668</v>
      </c>
      <c r="D938" s="278">
        <f>C938*Conversions!$B$53</f>
        <v>2.1231498005528873</v>
      </c>
      <c r="E938" s="279">
        <f>C938*Conversions!$B$59</f>
        <v>0.04105501245911214</v>
      </c>
      <c r="F938" s="280">
        <f>H938*Conversions!$D$67</f>
        <v>0.0028866456433043405</v>
      </c>
      <c r="G938" s="281">
        <f t="shared" si="123"/>
        <v>0.028306335992239643</v>
      </c>
      <c r="H938" s="282">
        <f>C938*Conversions!$B$50</f>
        <v>2.8306335992239644</v>
      </c>
      <c r="K938">
        <f t="shared" si="120"/>
        <v>3</v>
      </c>
    </row>
    <row r="939" spans="1:11" ht="15">
      <c r="A939" s="562">
        <f t="shared" si="122"/>
        <v>130500</v>
      </c>
      <c r="B939" s="277">
        <f>A939*Conversions!B$35</f>
        <v>39776.41085100488</v>
      </c>
      <c r="C939" s="573">
        <f aca="true" t="shared" si="124" ref="C939:C967">C$20*((D$20/(D$20+(E$20*(A939-B$20))))^((G$18*H$18)/(F$18*E$20)))</f>
        <v>0.08176736641932048</v>
      </c>
      <c r="D939" s="278">
        <f>C939*Conversions!$B$53</f>
        <v>2.076891096119734</v>
      </c>
      <c r="E939" s="279">
        <f>C939*Conversions!$B$59</f>
        <v>0.04016051519549423</v>
      </c>
      <c r="F939" s="280">
        <f>H939*Conversions!$D$67</f>
        <v>0.0028237520652901606</v>
      </c>
      <c r="G939" s="281">
        <f t="shared" si="123"/>
        <v>0.027689603988727905</v>
      </c>
      <c r="H939" s="282">
        <f>C939*Conversions!$B$50</f>
        <v>2.7689603988727907</v>
      </c>
      <c r="K939">
        <f t="shared" si="120"/>
        <v>3</v>
      </c>
    </row>
    <row r="940" spans="1:11" ht="15">
      <c r="A940" s="562">
        <f t="shared" si="122"/>
        <v>131000</v>
      </c>
      <c r="B940" s="277">
        <f>A940*Conversions!B$35</f>
        <v>39928.81089257962</v>
      </c>
      <c r="C940" s="573">
        <f t="shared" si="124"/>
        <v>0.07998697306756102</v>
      </c>
      <c r="D940" s="278">
        <f>C940*Conversions!$B$53</f>
        <v>2.0316691052230547</v>
      </c>
      <c r="E940" s="279">
        <f>C940*Conversions!$B$59</f>
        <v>0.03928606469783948</v>
      </c>
      <c r="F940" s="280">
        <f>H940*Conversions!$D$67</f>
        <v>0.002762268008456556</v>
      </c>
      <c r="G940" s="281">
        <f t="shared" si="123"/>
        <v>0.027086693695621843</v>
      </c>
      <c r="H940" s="282">
        <f>C940*Conversions!$B$50</f>
        <v>2.7086693695621844</v>
      </c>
      <c r="K940">
        <f aca="true" t="shared" si="125" ref="K940:K999">K939</f>
        <v>3</v>
      </c>
    </row>
    <row r="941" spans="1:11" ht="15">
      <c r="A941" s="562">
        <f t="shared" si="122"/>
        <v>131500</v>
      </c>
      <c r="B941" s="277">
        <f>A941*Conversions!B$35</f>
        <v>40081.21093415435</v>
      </c>
      <c r="C941" s="573">
        <f t="shared" si="124"/>
        <v>0.07824645507153635</v>
      </c>
      <c r="D941" s="278">
        <f>C941*Conversions!$B$53</f>
        <v>1.987459948356708</v>
      </c>
      <c r="E941" s="279">
        <f>C941*Conversions!$B$59</f>
        <v>0.03843119921190813</v>
      </c>
      <c r="F941" s="280">
        <f>H941*Conversions!$D$67</f>
        <v>0.0027021610061012985</v>
      </c>
      <c r="G941" s="281">
        <f t="shared" si="123"/>
        <v>0.02649728674568993</v>
      </c>
      <c r="H941" s="282">
        <f>C941*Conversions!$B$50</f>
        <v>2.6497286745689927</v>
      </c>
      <c r="K941">
        <f t="shared" si="125"/>
        <v>3</v>
      </c>
    </row>
    <row r="942" spans="1:11" ht="15">
      <c r="A942" s="562">
        <f t="shared" si="122"/>
        <v>132000</v>
      </c>
      <c r="B942" s="277">
        <f>A942*Conversions!B$35</f>
        <v>40233.610975729076</v>
      </c>
      <c r="C942" s="573">
        <f t="shared" si="124"/>
        <v>0.07654489453282656</v>
      </c>
      <c r="D942" s="278">
        <f>C942*Conversions!$B$53</f>
        <v>1.9442403109009512</v>
      </c>
      <c r="E942" s="279">
        <f>C942*Conversions!$B$59</f>
        <v>0.03759546790657944</v>
      </c>
      <c r="F942" s="280">
        <f>H942*Conversions!$D$67</f>
        <v>0.0026433993595446756</v>
      </c>
      <c r="G942" s="281">
        <f t="shared" si="123"/>
        <v>0.02592107230289985</v>
      </c>
      <c r="H942" s="282">
        <f>C942*Conversions!$B$50</f>
        <v>2.5921072302899852</v>
      </c>
      <c r="K942">
        <f t="shared" si="125"/>
        <v>3</v>
      </c>
    </row>
    <row r="943" spans="1:11" ht="15">
      <c r="A943" s="562">
        <f t="shared" si="122"/>
        <v>132500</v>
      </c>
      <c r="B943" s="277">
        <f>A943*Conversions!B$35</f>
        <v>40386.01101730381</v>
      </c>
      <c r="C943" s="573">
        <f t="shared" si="124"/>
        <v>0.07488139525273058</v>
      </c>
      <c r="D943" s="278">
        <f>C943*Conversions!$B$53</f>
        <v>1.9019874294088965</v>
      </c>
      <c r="E943" s="279">
        <f>C943*Conversions!$B$59</f>
        <v>0.03677843060867519</v>
      </c>
      <c r="F943" s="280">
        <f>H943*Conversions!$D$67</f>
        <v>0.002585952119484491</v>
      </c>
      <c r="G943" s="281">
        <f t="shared" si="123"/>
        <v>0.025357746879586376</v>
      </c>
      <c r="H943" s="282">
        <f>C943*Conversions!$B$50</f>
        <v>2.5357746879586376</v>
      </c>
      <c r="K943">
        <f t="shared" si="125"/>
        <v>3</v>
      </c>
    </row>
    <row r="944" spans="1:11" ht="15">
      <c r="A944" s="562">
        <f aca="true" t="shared" si="126" ref="A944:A1007">A943+500</f>
        <v>133000</v>
      </c>
      <c r="B944" s="277">
        <f>A944*Conversions!B$35</f>
        <v>40538.41105887854</v>
      </c>
      <c r="C944" s="573">
        <f t="shared" si="124"/>
        <v>0.0732550822057995</v>
      </c>
      <c r="D944" s="278">
        <f>C944*Conversions!$B$53</f>
        <v>1.8606790782342597</v>
      </c>
      <c r="E944" s="279">
        <f>C944*Conversions!$B$59</f>
        <v>0.03597965754438247</v>
      </c>
      <c r="F944" s="280">
        <f>H944*Conversions!$D$67</f>
        <v>0.00252978906781508</v>
      </c>
      <c r="G944" s="281">
        <f t="shared" si="123"/>
        <v>0.024807014158169258</v>
      </c>
      <c r="H944" s="282">
        <f>C944*Conversions!$B$50</f>
        <v>2.4807014158169256</v>
      </c>
      <c r="K944">
        <f t="shared" si="125"/>
        <v>3</v>
      </c>
    </row>
    <row r="945" spans="1:11" ht="15">
      <c r="A945" s="562">
        <f t="shared" si="126"/>
        <v>133500</v>
      </c>
      <c r="B945" s="277">
        <f>A945*Conversions!B$35</f>
        <v>40690.81110045328</v>
      </c>
      <c r="C945" s="573">
        <f t="shared" si="124"/>
        <v>0.07166510102647516</v>
      </c>
      <c r="D945" s="278">
        <f>C945*Conversions!$B$53</f>
        <v>1.8202935564919769</v>
      </c>
      <c r="E945" s="279">
        <f>C945*Conversions!$B$59</f>
        <v>0.03519872908711328</v>
      </c>
      <c r="F945" s="280">
        <f>H945*Conversions!$D$67</f>
        <v>0.002474880699898895</v>
      </c>
      <c r="G945" s="281">
        <f t="shared" si="123"/>
        <v>0.024268584817309154</v>
      </c>
      <c r="H945" s="282">
        <f>C945*Conversions!$B$50</f>
        <v>2.4268584817309153</v>
      </c>
      <c r="K945">
        <f t="shared" si="125"/>
        <v>3</v>
      </c>
    </row>
    <row r="946" spans="1:11" ht="15">
      <c r="A946" s="562">
        <f t="shared" si="126"/>
        <v>134000</v>
      </c>
      <c r="B946" s="277">
        <f>A946*Conversions!B$35</f>
        <v>40843.211142028005</v>
      </c>
      <c r="C946" s="573">
        <f t="shared" si="124"/>
        <v>0.07011061750848749</v>
      </c>
      <c r="D946" s="278">
        <f>C946*Conversions!$B$53</f>
        <v>1.7808096753429</v>
      </c>
      <c r="E946" s="279">
        <f>C946*Conversions!$B$59</f>
        <v>0.034435235511630594</v>
      </c>
      <c r="F946" s="280">
        <f>H946*Conversions!$D$67</f>
        <v>0.002421198207278709</v>
      </c>
      <c r="G946" s="281">
        <f t="shared" si="123"/>
        <v>0.02374217636238412</v>
      </c>
      <c r="H946" s="282">
        <f>C946*Conversions!$B$50</f>
        <v>2.374217636238412</v>
      </c>
      <c r="K946">
        <f t="shared" si="125"/>
        <v>3</v>
      </c>
    </row>
    <row r="947" spans="1:11" ht="15">
      <c r="A947" s="562">
        <f t="shared" si="126"/>
        <v>134500</v>
      </c>
      <c r="B947" s="277">
        <f>A947*Conversions!B$35</f>
        <v>40995.611183602734</v>
      </c>
      <c r="C947" s="573">
        <f t="shared" si="124"/>
        <v>0.06859081711669562</v>
      </c>
      <c r="D947" s="278">
        <f>C947*Conversions!$B$53</f>
        <v>1.7422067455945598</v>
      </c>
      <c r="E947" s="279">
        <f>C947*Conversions!$B$59</f>
        <v>0.03368877675428638</v>
      </c>
      <c r="F947" s="280">
        <f>H947*Conversions!$D$67</f>
        <v>0.002368713460819551</v>
      </c>
      <c r="G947" s="281">
        <f t="shared" si="123"/>
        <v>0.023227512960180097</v>
      </c>
      <c r="H947" s="282">
        <f>C947*Conversions!$B$50</f>
        <v>2.32275129601801</v>
      </c>
      <c r="K947">
        <f t="shared" si="125"/>
        <v>3</v>
      </c>
    </row>
    <row r="948" spans="1:11" ht="15">
      <c r="A948" s="562">
        <f t="shared" si="126"/>
        <v>135000</v>
      </c>
      <c r="B948" s="277">
        <f>A948*Conversions!B$35</f>
        <v>41148.01122517747</v>
      </c>
      <c r="C948" s="573">
        <f t="shared" si="124"/>
        <v>0.06710490451105074</v>
      </c>
      <c r="D948" s="278">
        <f>C948*Conversions!$B$53</f>
        <v>1.7044645656098227</v>
      </c>
      <c r="E948" s="279">
        <f>C948*Conversions!$B$59</f>
        <v>0.0329589621792131</v>
      </c>
      <c r="F948" s="280">
        <f>H948*Conversions!$D$67</f>
        <v>0.00231739899426925</v>
      </c>
      <c r="G948" s="281">
        <f t="shared" si="123"/>
        <v>0.022724325277686218</v>
      </c>
      <c r="H948" s="282">
        <f>C948*Conversions!$B$50</f>
        <v>2.272432527768622</v>
      </c>
      <c r="K948">
        <f t="shared" si="125"/>
        <v>3</v>
      </c>
    </row>
    <row r="949" spans="1:11" ht="15">
      <c r="A949" s="562">
        <f t="shared" si="126"/>
        <v>135500</v>
      </c>
      <c r="B949" s="277">
        <f>A949*Conversions!B$35</f>
        <v>41300.4112667522</v>
      </c>
      <c r="C949" s="573">
        <f t="shared" si="124"/>
        <v>0.06565210308237379</v>
      </c>
      <c r="D949" s="278">
        <f>C949*Conversions!$B$53</f>
        <v>1.6675634095156449</v>
      </c>
      <c r="E949" s="279">
        <f>C949*Conversions!$B$59</f>
        <v>0.03224541035031831</v>
      </c>
      <c r="F949" s="280">
        <f>H949*Conversions!$D$67</f>
        <v>0.002267227988226995</v>
      </c>
      <c r="G949" s="281">
        <f t="shared" si="123"/>
        <v>0.022232350324891147</v>
      </c>
      <c r="H949" s="282">
        <f>C949*Conversions!$B$50</f>
        <v>2.223235032489115</v>
      </c>
      <c r="K949">
        <f t="shared" si="125"/>
        <v>3</v>
      </c>
    </row>
    <row r="950" spans="1:11" ht="15">
      <c r="A950" s="562">
        <f t="shared" si="126"/>
        <v>136000</v>
      </c>
      <c r="B950" s="277">
        <f>A950*Conversions!B$35</f>
        <v>41452.81130832693</v>
      </c>
      <c r="C950" s="573">
        <f t="shared" si="124"/>
        <v>0.06423165449964476</v>
      </c>
      <c r="D950" s="278">
        <f>C950*Conversions!$B$53</f>
        <v>1.631484015704219</v>
      </c>
      <c r="E950" s="279">
        <f>C950*Conversions!$B$59</f>
        <v>0.03154774880893316</v>
      </c>
      <c r="F950" s="280">
        <f>H950*Conversions!$D$67</f>
        <v>0.0022181742545094338</v>
      </c>
      <c r="G950" s="281">
        <f t="shared" si="123"/>
        <v>0.02175133130147763</v>
      </c>
      <c r="H950" s="282">
        <f>C950*Conversions!$B$50</f>
        <v>2.175133130147763</v>
      </c>
      <c r="K950">
        <f t="shared" si="125"/>
        <v>3</v>
      </c>
    </row>
    <row r="951" spans="1:11" ht="15">
      <c r="A951" s="562">
        <f t="shared" si="126"/>
        <v>136500</v>
      </c>
      <c r="B951" s="277">
        <f>A951*Conversions!B$35</f>
        <v>41605.21134990166</v>
      </c>
      <c r="C951" s="573">
        <f t="shared" si="124"/>
        <v>0.06284281826851723</v>
      </c>
      <c r="D951" s="278">
        <f>C951*Conversions!$B$53</f>
        <v>1.5962075756192453</v>
      </c>
      <c r="E951" s="279">
        <f>C951*Conversions!$B$59</f>
        <v>0.030865613856974245</v>
      </c>
      <c r="F951" s="280">
        <f>H951*Conversions!$D$67</f>
        <v>0.0021702122209044297</v>
      </c>
      <c r="G951" s="281">
        <f t="shared" si="123"/>
        <v>0.021281017447318425</v>
      </c>
      <c r="H951" s="282">
        <f>C951*Conversions!$B$50</f>
        <v>2.1281017447318424</v>
      </c>
      <c r="K951">
        <f t="shared" si="125"/>
        <v>3</v>
      </c>
    </row>
    <row r="952" spans="1:11" ht="15">
      <c r="A952" s="562">
        <f t="shared" si="126"/>
        <v>137000</v>
      </c>
      <c r="B952" s="277">
        <f>A952*Conversions!B$35</f>
        <v>41757.61139147639</v>
      </c>
      <c r="C952" s="573">
        <f t="shared" si="124"/>
        <v>0.06148487130076489</v>
      </c>
      <c r="D952" s="278">
        <f>C952*Conversions!$B$53</f>
        <v>1.561715722819872</v>
      </c>
      <c r="E952" s="279">
        <f>C952*Conversions!$B$59</f>
        <v>0.03019865034547478</v>
      </c>
      <c r="F952" s="280">
        <f>H952*Conversions!$D$67</f>
        <v>0.0021233169163023344</v>
      </c>
      <c r="G952" s="281">
        <f t="shared" si="123"/>
        <v>0.02082116389667415</v>
      </c>
      <c r="H952" s="282">
        <f>C952*Conversions!$B$50</f>
        <v>2.082116389667415</v>
      </c>
      <c r="K952">
        <f t="shared" si="125"/>
        <v>3</v>
      </c>
    </row>
    <row r="953" spans="1:11" ht="15">
      <c r="A953" s="562">
        <f t="shared" si="126"/>
        <v>137500</v>
      </c>
      <c r="B953" s="277">
        <f>A953*Conversions!B$35</f>
        <v>41910.01143305112</v>
      </c>
      <c r="C953" s="573">
        <f t="shared" si="124"/>
        <v>0.06015710749438929</v>
      </c>
      <c r="D953" s="278">
        <f>C953*Conversions!$B$53</f>
        <v>1.5279905223154326</v>
      </c>
      <c r="E953" s="279">
        <f>C953*Conversions!$B$59</f>
        <v>0.0295465114683521</v>
      </c>
      <c r="F953" s="280">
        <f>H953*Conversions!$D$67</f>
        <v>0.0020774639561954435</v>
      </c>
      <c r="G953" s="281">
        <f t="shared" si="123"/>
        <v>0.020371531536001478</v>
      </c>
      <c r="H953" s="282">
        <f>C953*Conversions!$B$50</f>
        <v>2.0371531536001477</v>
      </c>
      <c r="K953">
        <f t="shared" si="125"/>
        <v>3</v>
      </c>
    </row>
    <row r="954" spans="1:11" ht="15">
      <c r="A954" s="562">
        <f t="shared" si="126"/>
        <v>138000</v>
      </c>
      <c r="B954" s="277">
        <f>A954*Conversions!B$35</f>
        <v>42062.41147462586</v>
      </c>
      <c r="C954" s="573">
        <f t="shared" si="124"/>
        <v>0.05885883732411428</v>
      </c>
      <c r="D954" s="278">
        <f>C954*Conversions!$B$53</f>
        <v>1.4950144601640056</v>
      </c>
      <c r="E954" s="279">
        <f>C954*Conversions!$B$59</f>
        <v>0.02890885856127661</v>
      </c>
      <c r="F954" s="280">
        <f>H954*Conversions!$D$67</f>
        <v>0.0020326295285361413</v>
      </c>
      <c r="G954" s="281">
        <f t="shared" si="123"/>
        <v>0.019931886865278668</v>
      </c>
      <c r="H954" s="282">
        <f>C954*Conversions!$B$50</f>
        <v>1.9931886865278667</v>
      </c>
      <c r="K954">
        <f t="shared" si="125"/>
        <v>3</v>
      </c>
    </row>
    <row r="955" spans="1:11" ht="15">
      <c r="A955" s="562">
        <f t="shared" si="126"/>
        <v>138500</v>
      </c>
      <c r="B955" s="277">
        <f>A955*Conversions!B$35</f>
        <v>42214.811516200585</v>
      </c>
      <c r="C955" s="573">
        <f t="shared" si="124"/>
        <v>0.057589387442005556</v>
      </c>
      <c r="D955" s="278">
        <f>C955*Conversions!$B$53</f>
        <v>1.4627704333281495</v>
      </c>
      <c r="E955" s="279">
        <f>C955*Conversions!$B$59</f>
        <v>0.02828536090551379</v>
      </c>
      <c r="F955" s="280">
        <f>H955*Conversions!$D$67</f>
        <v>0.0019887903799447066</v>
      </c>
      <c r="G955" s="281">
        <f t="shared" si="123"/>
        <v>0.019502001862759834</v>
      </c>
      <c r="H955" s="282">
        <f>C955*Conversions!$B$50</f>
        <v>1.9502001862759835</v>
      </c>
      <c r="K955">
        <f t="shared" si="125"/>
        <v>3</v>
      </c>
    </row>
    <row r="956" spans="1:11" ht="15">
      <c r="A956" s="562">
        <f t="shared" si="126"/>
        <v>139000</v>
      </c>
      <c r="B956" s="277">
        <f>A956*Conversions!B$35</f>
        <v>42367.21155777532</v>
      </c>
      <c r="C956" s="573">
        <f t="shared" si="124"/>
        <v>0.05634810028795898</v>
      </c>
      <c r="D956" s="278">
        <f>C956*Conversions!$B$53</f>
        <v>1.4312417397813069</v>
      </c>
      <c r="E956" s="279">
        <f>C956*Conversions!$B$59</f>
        <v>0.02767569553661327</v>
      </c>
      <c r="F956" s="280">
        <f>H956*Conversions!$D$67</f>
        <v>0.0019459238022579272</v>
      </c>
      <c r="G956" s="281">
        <f t="shared" si="123"/>
        <v>0.019081653853071173</v>
      </c>
      <c r="H956" s="282">
        <f>C956*Conversions!$B$50</f>
        <v>1.9081653853071174</v>
      </c>
      <c r="K956">
        <f t="shared" si="125"/>
        <v>3</v>
      </c>
    </row>
    <row r="957" spans="1:11" ht="15">
      <c r="A957" s="562">
        <f t="shared" si="126"/>
        <v>139500</v>
      </c>
      <c r="B957" s="277">
        <f>A957*Conversions!B$35</f>
        <v>42519.61159935005</v>
      </c>
      <c r="C957" s="573">
        <f t="shared" si="124"/>
        <v>0.05513433370980521</v>
      </c>
      <c r="D957" s="278">
        <f>C957*Conversions!$B$53</f>
        <v>1.4004120688584625</v>
      </c>
      <c r="E957" s="279">
        <f>C957*Conversions!$B$59</f>
        <v>0.027079547057821004</v>
      </c>
      <c r="F957" s="280">
        <f>H957*Conversions!$D$67</f>
        <v>0.0019040076194098022</v>
      </c>
      <c r="G957" s="281">
        <f t="shared" si="123"/>
        <v>0.01867062537856365</v>
      </c>
      <c r="H957" s="282">
        <f>C957*Conversions!$B$50</f>
        <v>1.8670625378563648</v>
      </c>
      <c r="K957">
        <f t="shared" si="125"/>
        <v>3</v>
      </c>
    </row>
    <row r="958" spans="1:11" ht="15">
      <c r="A958" s="562">
        <f t="shared" si="126"/>
        <v>140000</v>
      </c>
      <c r="B958" s="277">
        <f>A958*Conversions!B$35</f>
        <v>42672.01164092478</v>
      </c>
      <c r="C958" s="573">
        <f t="shared" si="124"/>
        <v>0.05394746059279129</v>
      </c>
      <c r="D958" s="278">
        <f>C958*Conversions!$B$53</f>
        <v>1.3702654918449753</v>
      </c>
      <c r="E958" s="279">
        <f>C958*Conversions!$B$59</f>
        <v>0.026496607458097045</v>
      </c>
      <c r="F958" s="280">
        <f>H958*Conversions!$D$67</f>
        <v>0.00186302017463607</v>
      </c>
      <c r="G958" s="281">
        <f t="shared" si="123"/>
        <v>0.01826870407384107</v>
      </c>
      <c r="H958" s="282">
        <f>C958*Conversions!$B$50</f>
        <v>1.8268704073841069</v>
      </c>
      <c r="K958">
        <f t="shared" si="125"/>
        <v>3</v>
      </c>
    </row>
    <row r="959" spans="1:11" ht="15">
      <c r="A959" s="562">
        <f t="shared" si="126"/>
        <v>140500</v>
      </c>
      <c r="B959" s="277">
        <f>A959*Conversions!B$35</f>
        <v>42824.411682499514</v>
      </c>
      <c r="C959" s="573">
        <f t="shared" si="124"/>
        <v>0.05278686849819856</v>
      </c>
      <c r="D959" s="278">
        <f>C959*Conversions!$B$53</f>
        <v>1.3407864527974727</v>
      </c>
      <c r="E959" s="279">
        <f>C959*Conversions!$B$59</f>
        <v>0.0259265759346206</v>
      </c>
      <c r="F959" s="280">
        <f>H959*Conversions!$D$67</f>
        <v>0.0018229403179942484</v>
      </c>
      <c r="G959" s="281">
        <f t="shared" si="123"/>
        <v>0.017875682543382093</v>
      </c>
      <c r="H959" s="282">
        <f>C959*Conversions!$B$50</f>
        <v>1.7875682543382094</v>
      </c>
      <c r="K959">
        <f t="shared" si="125"/>
        <v>3</v>
      </c>
    </row>
    <row r="960" spans="1:11" ht="15">
      <c r="A960" s="562">
        <f t="shared" si="126"/>
        <v>141000</v>
      </c>
      <c r="B960" s="277">
        <f>A960*Conversions!B$35</f>
        <v>42976.81172407424</v>
      </c>
      <c r="C960" s="573">
        <f t="shared" si="124"/>
        <v>0.05165195931086819</v>
      </c>
      <c r="D960" s="278">
        <f>C960*Conversions!$B$53</f>
        <v>1.3119597595910006</v>
      </c>
      <c r="E960" s="279">
        <f>C960*Conversions!$B$59</f>
        <v>0.02536915871967019</v>
      </c>
      <c r="F960" s="280">
        <f>H960*Conversions!$D$67</f>
        <v>0.0017837473941912912</v>
      </c>
      <c r="G960" s="281">
        <f t="shared" si="123"/>
        <v>0.017491358242178703</v>
      </c>
      <c r="H960" s="282">
        <f>C960*Conversions!$B$50</f>
        <v>1.7491358242178703</v>
      </c>
      <c r="K960">
        <f t="shared" si="125"/>
        <v>3</v>
      </c>
    </row>
    <row r="961" spans="1:11" ht="15">
      <c r="A961" s="562">
        <f t="shared" si="126"/>
        <v>141500</v>
      </c>
      <c r="B961" s="277">
        <f>A961*Conversions!B$35</f>
        <v>43129.21176564897</v>
      </c>
      <c r="C961" s="573">
        <f t="shared" si="124"/>
        <v>0.050542148895407084</v>
      </c>
      <c r="D961" s="278">
        <f>C961*Conversions!$B$53</f>
        <v>1.2837705751866528</v>
      </c>
      <c r="E961" s="279">
        <f>C961*Conversions!$B$59</f>
        <v>0.024824068911767166</v>
      </c>
      <c r="F961" s="280">
        <f>H961*Conversions!$D$67</f>
        <v>0.0017454212307110113</v>
      </c>
      <c r="G961" s="281">
        <f t="shared" si="123"/>
        <v>0.017115533359314157</v>
      </c>
      <c r="H961" s="282">
        <f>C961*Conversions!$B$50</f>
        <v>1.7115533359314157</v>
      </c>
      <c r="K961">
        <f t="shared" si="125"/>
        <v>3</v>
      </c>
    </row>
    <row r="962" spans="1:11" ht="15">
      <c r="A962" s="562">
        <f t="shared" si="126"/>
        <v>142000</v>
      </c>
      <c r="B962" s="277">
        <f>A962*Conversions!B$35</f>
        <v>43281.61180722371</v>
      </c>
      <c r="C962" s="573">
        <f t="shared" si="124"/>
        <v>0.04945686676085828</v>
      </c>
      <c r="D962" s="278">
        <f>C962*Conversions!$B$53</f>
        <v>1.2562044091141982</v>
      </c>
      <c r="E962" s="279">
        <f>C962*Conversions!$B$59</f>
        <v>0.024291026310976654</v>
      </c>
      <c r="F962" s="280">
        <f>H962*Conversions!$D$67</f>
        <v>0.0017079421262338175</v>
      </c>
      <c r="G962" s="281">
        <f t="shared" si="123"/>
        <v>0.016748014704407385</v>
      </c>
      <c r="H962" s="282">
        <f>C962*Conversions!$B$50</f>
        <v>1.6748014704407386</v>
      </c>
      <c r="K962">
        <f t="shared" si="125"/>
        <v>3</v>
      </c>
    </row>
    <row r="963" spans="1:11" ht="15">
      <c r="A963" s="562">
        <f t="shared" si="126"/>
        <v>142500</v>
      </c>
      <c r="B963" s="277">
        <f>A963*Conversions!B$35</f>
        <v>43434.01184879844</v>
      </c>
      <c r="C963" s="573">
        <f t="shared" si="124"/>
        <v>0.048395555733618985</v>
      </c>
      <c r="D963" s="278">
        <f>C963*Conversions!$B$53</f>
        <v>1.2292471091642008</v>
      </c>
      <c r="E963" s="279">
        <f>C963*Conversions!$B$59</f>
        <v>0.02376975725825933</v>
      </c>
      <c r="F963" s="280">
        <f>H963*Conversions!$D$67</f>
        <v>0.0016712908393412746</v>
      </c>
      <c r="G963" s="281">
        <f t="shared" si="123"/>
        <v>0.016388613596850347</v>
      </c>
      <c r="H963" s="282">
        <f>C963*Conversions!$B$50</f>
        <v>1.6388613596850345</v>
      </c>
      <c r="K963">
        <f t="shared" si="125"/>
        <v>3</v>
      </c>
    </row>
    <row r="964" spans="1:11" ht="15">
      <c r="A964" s="562">
        <f t="shared" si="126"/>
        <v>143000</v>
      </c>
      <c r="B964" s="277">
        <f>A964*Conversions!B$35</f>
        <v>43586.41189037317</v>
      </c>
      <c r="C964" s="573">
        <f t="shared" si="124"/>
        <v>0.04735767163840017</v>
      </c>
      <c r="D964" s="278">
        <f>C964*Conversions!$B$53</f>
        <v>1.2028848532843914</v>
      </c>
      <c r="E964" s="279">
        <f>C964*Conversions!$B$59</f>
        <v>0.023259994478772916</v>
      </c>
      <c r="F964" s="280">
        <f>H964*Conversions!$D$67</f>
        <v>0.0016354485774983708</v>
      </c>
      <c r="G964" s="281">
        <f t="shared" si="123"/>
        <v>0.01603714575776855</v>
      </c>
      <c r="H964" s="282">
        <f>C964*Conversions!$B$50</f>
        <v>1.6037145757768547</v>
      </c>
      <c r="K964">
        <f t="shared" si="125"/>
        <v>3</v>
      </c>
    </row>
    <row r="965" spans="1:11" ht="15">
      <c r="A965" s="562">
        <f t="shared" si="126"/>
        <v>143500</v>
      </c>
      <c r="B965" s="277">
        <f>A965*Conversions!B$35</f>
        <v>43738.8119319479</v>
      </c>
      <c r="C965" s="573">
        <f t="shared" si="124"/>
        <v>0.04634268298702489</v>
      </c>
      <c r="D965" s="278">
        <f>C965*Conversions!$B$53</f>
        <v>1.1771041416751473</v>
      </c>
      <c r="E965" s="279">
        <f>C965*Conversions!$B$59</f>
        <v>0.022761476929023635</v>
      </c>
      <c r="F965" s="280">
        <f>H965*Conversions!$D$67</f>
        <v>0.0016003969863064868</v>
      </c>
      <c r="G965" s="281">
        <f t="shared" si="123"/>
        <v>0.015693431204636094</v>
      </c>
      <c r="H965" s="282">
        <f>C965*Conversions!$B$50</f>
        <v>1.5693431204636092</v>
      </c>
      <c r="K965">
        <f t="shared" si="125"/>
        <v>3</v>
      </c>
    </row>
    <row r="966" spans="1:11" ht="15">
      <c r="A966" s="562">
        <f t="shared" si="126"/>
        <v>144000</v>
      </c>
      <c r="B966" s="277">
        <f>A966*Conversions!B$35</f>
        <v>43891.21197352263</v>
      </c>
      <c r="C966" s="573">
        <f t="shared" si="124"/>
        <v>0.04535007067486765</v>
      </c>
      <c r="D966" s="278">
        <f>C966*Conversions!$B$53</f>
        <v>1.1518917890790499</v>
      </c>
      <c r="E966" s="279">
        <f>C966*Conversions!$B$59</f>
        <v>0.02227394964777068</v>
      </c>
      <c r="F966" s="280">
        <f>H966*Conversions!$D$67</f>
        <v>0.0015661181390202402</v>
      </c>
      <c r="G966" s="281">
        <f t="shared" si="123"/>
        <v>0.015357294148478256</v>
      </c>
      <c r="H966" s="282">
        <f>C966*Conversions!$B$50</f>
        <v>1.5357294148478255</v>
      </c>
      <c r="K966">
        <f t="shared" si="125"/>
        <v>3</v>
      </c>
    </row>
    <row r="967" spans="1:11" ht="15">
      <c r="A967" s="562">
        <f t="shared" si="126"/>
        <v>144500</v>
      </c>
      <c r="B967" s="277">
        <f>A967*Conversions!B$35</f>
        <v>44043.612015097366</v>
      </c>
      <c r="C967" s="573">
        <f t="shared" si="124"/>
        <v>0.04437932768474188</v>
      </c>
      <c r="D967" s="278">
        <f>C967*Conversions!$B$53</f>
        <v>1.1272349172596283</v>
      </c>
      <c r="E967" s="279">
        <f>C967*Conversions!$B$59</f>
        <v>0.021797163610588813</v>
      </c>
      <c r="F967" s="280">
        <f>H967*Conversions!$D$67</f>
        <v>0.0015325945263215451</v>
      </c>
      <c r="G967" s="281">
        <f t="shared" si="123"/>
        <v>0.015028562893596296</v>
      </c>
      <c r="H967" s="282">
        <f>C967*Conversions!$B$50</f>
        <v>1.5028562893596296</v>
      </c>
      <c r="K967">
        <f t="shared" si="125"/>
        <v>3</v>
      </c>
    </row>
    <row r="968" spans="1:11" ht="15">
      <c r="A968" s="562">
        <f t="shared" si="126"/>
        <v>145000</v>
      </c>
      <c r="B968" s="277">
        <f>A968*Conversions!B$35</f>
        <v>44196.012056672094</v>
      </c>
      <c r="C968" s="573">
        <f aca="true" t="shared" si="127" ref="C968:C985">C$20*((D$20/(D$20+(E$20*(A968-B$20))))^((G$18*H$18)/(F$18*E$20)))</f>
        <v>0.04342995879805038</v>
      </c>
      <c r="D968" s="278">
        <f>C968*Conversions!$B$53</f>
        <v>1.10312094766458</v>
      </c>
      <c r="E968" s="279">
        <f>C968*Conversions!$B$59</f>
        <v>0.021330875587998246</v>
      </c>
      <c r="F968" s="280">
        <f>H968*Conversions!$D$67</f>
        <v>0.0014998090463444879</v>
      </c>
      <c r="G968" s="281">
        <f t="shared" si="123"/>
        <v>0.014707069739751786</v>
      </c>
      <c r="H968" s="282">
        <f>C968*Conversions!$B$50</f>
        <v>1.4707069739751786</v>
      </c>
      <c r="K968">
        <f t="shared" si="125"/>
        <v>3</v>
      </c>
    </row>
    <row r="969" spans="1:11" ht="15">
      <c r="A969" s="562">
        <f t="shared" si="126"/>
        <v>145500</v>
      </c>
      <c r="B969" s="277">
        <f>A969*Conversions!B$35</f>
        <v>44348.41209824682</v>
      </c>
      <c r="C969" s="573">
        <f t="shared" si="127"/>
        <v>0.042501480313014074</v>
      </c>
      <c r="D969" s="278">
        <f>C969*Conversions!$B$53</f>
        <v>1.0795375942687808</v>
      </c>
      <c r="E969" s="279">
        <f>C969*Conversions!$B$59</f>
        <v>0.020874848007071053</v>
      </c>
      <c r="F969" s="280">
        <f>H969*Conversions!$D$67</f>
        <v>0.0014677449949446464</v>
      </c>
      <c r="G969" s="281">
        <f t="shared" si="123"/>
        <v>0.014392650886747922</v>
      </c>
      <c r="H969" s="282">
        <f>C969*Conversions!$B$50</f>
        <v>1.4392650886747922</v>
      </c>
      <c r="K969">
        <f t="shared" si="125"/>
        <v>3</v>
      </c>
    </row>
    <row r="970" spans="1:11" ht="15">
      <c r="A970" s="562">
        <f t="shared" si="126"/>
        <v>146000</v>
      </c>
      <c r="B970" s="277">
        <f>A970*Conversions!B$35</f>
        <v>44500.81213982156</v>
      </c>
      <c r="C970" s="573">
        <f t="shared" si="127"/>
        <v>0.04159341976980097</v>
      </c>
      <c r="D970" s="278">
        <f>C970*Conversions!$B$53</f>
        <v>1.0564728565925614</v>
      </c>
      <c r="E970" s="279">
        <f>C970*Conversions!$B$59</f>
        <v>0.020428848816426683</v>
      </c>
      <c r="F970" s="280">
        <f>H970*Conversions!$D$67</f>
        <v>0.0014363860562067025</v>
      </c>
      <c r="G970" s="281">
        <f t="shared" si="123"/>
        <v>0.014085146341347537</v>
      </c>
      <c r="H970" s="282">
        <f>C970*Conversions!$B$50</f>
        <v>1.4085146341347536</v>
      </c>
      <c r="K970">
        <f t="shared" si="125"/>
        <v>3</v>
      </c>
    </row>
    <row r="971" spans="1:11" ht="15">
      <c r="A971" s="562">
        <f t="shared" si="126"/>
        <v>146500</v>
      </c>
      <c r="B971" s="277">
        <f>A971*Conversions!B$35</f>
        <v>44653.21218139629</v>
      </c>
      <c r="C971" s="573">
        <f t="shared" si="127"/>
        <v>0.04070531568238442</v>
      </c>
      <c r="D971" s="278">
        <f>C971*Conversions!$B$53</f>
        <v>1.0339150128909063</v>
      </c>
      <c r="E971" s="279">
        <f>C971*Conversions!$B$59</f>
        <v>0.019992651354532577</v>
      </c>
      <c r="F971" s="280">
        <f>H971*Conversions!$D$67</f>
        <v>0.0014057162931844392</v>
      </c>
      <c r="G971" s="281">
        <f t="shared" si="123"/>
        <v>0.01378439982646988</v>
      </c>
      <c r="H971" s="282">
        <f>C971*Conversions!$B$50</f>
        <v>1.378439982646988</v>
      </c>
      <c r="K971">
        <f t="shared" si="125"/>
        <v>3</v>
      </c>
    </row>
    <row r="972" spans="1:11" ht="15">
      <c r="A972" s="562">
        <f t="shared" si="126"/>
        <v>147000</v>
      </c>
      <c r="B972" s="277">
        <f>A972*Conversions!B$35</f>
        <v>44805.612222971016</v>
      </c>
      <c r="C972" s="573">
        <f t="shared" si="127"/>
        <v>0.03983671727696057</v>
      </c>
      <c r="D972" s="278">
        <f>C972*Conversions!$B$53</f>
        <v>1.0118526135092585</v>
      </c>
      <c r="E972" s="279">
        <f>C972*Conversions!$B$59</f>
        <v>0.019566034221226398</v>
      </c>
      <c r="F972" s="280">
        <f>H972*Conversions!$D$67</f>
        <v>0.0013757201388672593</v>
      </c>
      <c r="G972" s="281">
        <f t="shared" si="123"/>
        <v>0.013490258692608635</v>
      </c>
      <c r="H972" s="282">
        <f>C972*Conversions!$B$50</f>
        <v>1.3490258692608634</v>
      </c>
      <c r="K972">
        <f t="shared" si="125"/>
        <v>3</v>
      </c>
    </row>
    <row r="973" spans="1:11" ht="15">
      <c r="A973" s="562">
        <f t="shared" si="126"/>
        <v>147500</v>
      </c>
      <c r="B973" s="277">
        <f>A973*Conversions!B$35</f>
        <v>44958.01226454575</v>
      </c>
      <c r="C973" s="573">
        <f t="shared" si="127"/>
        <v>0.0389871842367596</v>
      </c>
      <c r="D973" s="278">
        <f>C973*Conversions!$B$53</f>
        <v>0.990274474401723</v>
      </c>
      <c r="E973" s="279">
        <f>C973*Conversions!$B$59</f>
        <v>0.01914878115237858</v>
      </c>
      <c r="F973" s="280">
        <f>H973*Conversions!$D$67</f>
        <v>0.0013463823873675008</v>
      </c>
      <c r="G973" s="281">
        <f t="shared" si="123"/>
        <v>0.013202573831415076</v>
      </c>
      <c r="H973" s="282">
        <f>C973*Conversions!$B$50</f>
        <v>1.3202573831415076</v>
      </c>
      <c r="K973">
        <f t="shared" si="125"/>
        <v>3</v>
      </c>
    </row>
    <row r="974" spans="1:11" ht="15">
      <c r="A974" s="562">
        <f t="shared" si="126"/>
        <v>148000</v>
      </c>
      <c r="B974" s="277">
        <f>A974*Conversions!B$35</f>
        <v>45110.41230612048</v>
      </c>
      <c r="C974" s="573">
        <f t="shared" si="127"/>
        <v>0.03815628645309217</v>
      </c>
      <c r="D974" s="278">
        <f>C974*Conversions!$B$53</f>
        <v>0.9691696708076483</v>
      </c>
      <c r="E974" s="279">
        <f>C974*Conversions!$B$59</f>
        <v>0.018740680897617365</v>
      </c>
      <c r="F974" s="280">
        <f>H974*Conversions!$D$67</f>
        <v>0.001317688185323083</v>
      </c>
      <c r="G974" s="281">
        <f t="shared" si="123"/>
        <v>0.012921199591392757</v>
      </c>
      <c r="H974" s="282">
        <f>C974*Conversions!$B$50</f>
        <v>1.2921199591392758</v>
      </c>
      <c r="K974">
        <f t="shared" si="125"/>
        <v>3</v>
      </c>
    </row>
    <row r="975" spans="1:11" ht="15">
      <c r="A975" s="562">
        <f t="shared" si="126"/>
        <v>148500</v>
      </c>
      <c r="B975" s="277">
        <f>A975*Conversions!B$35</f>
        <v>45262.81234769522</v>
      </c>
      <c r="C975" s="573">
        <f t="shared" si="127"/>
        <v>0.03734360378247415</v>
      </c>
      <c r="D975" s="278">
        <f>C975*Conversions!$B$53</f>
        <v>0.9485275310825934</v>
      </c>
      <c r="E975" s="279">
        <f>C975*Conversions!$B$59</f>
        <v>0.018341527101039198</v>
      </c>
      <c r="F975" s="280">
        <f>H975*Conversions!$D$67</f>
        <v>0.0012896230235100578</v>
      </c>
      <c r="G975" s="281">
        <f t="shared" si="123"/>
        <v>0.012645993695650497</v>
      </c>
      <c r="H975" s="282">
        <f>C975*Conversions!$B$50</f>
        <v>1.2645993695650497</v>
      </c>
      <c r="K975">
        <f t="shared" si="125"/>
        <v>3</v>
      </c>
    </row>
    <row r="976" spans="1:11" ht="15">
      <c r="A976" s="562">
        <f t="shared" si="126"/>
        <v>149000</v>
      </c>
      <c r="B976" s="277">
        <f>A976*Conversions!B$35</f>
        <v>45415.212389269946</v>
      </c>
      <c r="C976" s="573">
        <f t="shared" si="127"/>
        <v>0.03654872580967767</v>
      </c>
      <c r="D976" s="278">
        <f>C976*Conversions!$B$53</f>
        <v>0.9283376306798253</v>
      </c>
      <c r="E976" s="279">
        <f>C976*Conversions!$B$59</f>
        <v>0.017951118184829883</v>
      </c>
      <c r="F976" s="280">
        <f>H976*Conversions!$D$67</f>
        <v>0.0012621727286598206</v>
      </c>
      <c r="G976" s="281">
        <f t="shared" si="123"/>
        <v>0.012376817161662277</v>
      </c>
      <c r="H976" s="282">
        <f>C976*Conversions!$B$50</f>
        <v>1.2376817161662277</v>
      </c>
      <c r="K976">
        <f t="shared" si="125"/>
        <v>3</v>
      </c>
    </row>
    <row r="977" spans="1:11" ht="15">
      <c r="A977" s="562">
        <f t="shared" si="126"/>
        <v>149500</v>
      </c>
      <c r="B977" s="277">
        <f>A977*Conversions!B$35</f>
        <v>45567.612430844674</v>
      </c>
      <c r="C977" s="573">
        <f t="shared" si="127"/>
        <v>0.03577125161656019</v>
      </c>
      <c r="D977" s="278">
        <f>C977*Conversions!$B$53</f>
        <v>0.9085897862785773</v>
      </c>
      <c r="E977" s="279">
        <f>C977*Conversions!$B$59</f>
        <v>0.017569257235723647</v>
      </c>
      <c r="F977" s="280">
        <f>H977*Conversions!$D$67</f>
        <v>0.0012353234554758606</v>
      </c>
      <c r="G977" s="281">
        <f t="shared" si="123"/>
        <v>0.012113534222983795</v>
      </c>
      <c r="H977" s="282">
        <f>C977*Conversions!$B$50</f>
        <v>1.2113534222983795</v>
      </c>
      <c r="K977">
        <f t="shared" si="125"/>
        <v>3</v>
      </c>
    </row>
    <row r="978" spans="1:11" ht="15">
      <c r="A978" s="562">
        <f t="shared" si="126"/>
        <v>150000</v>
      </c>
      <c r="B978" s="277">
        <f>A978*Conversions!B$35</f>
        <v>45720.01247241941</v>
      </c>
      <c r="C978" s="573">
        <f t="shared" si="127"/>
        <v>0.03501078955652763</v>
      </c>
      <c r="D978" s="278">
        <f>C978*Conversions!$B$53</f>
        <v>0.8892740500554122</v>
      </c>
      <c r="E978" s="279">
        <f>C978*Conversions!$B$59</f>
        <v>0.017195751894229387</v>
      </c>
      <c r="F978" s="280">
        <f>H978*Conversions!$D$67</f>
        <v>0.0012090616788450758</v>
      </c>
      <c r="G978" s="281">
        <f t="shared" si="123"/>
        <v>0.011856012252876927</v>
      </c>
      <c r="H978" s="282">
        <f>C978*Conversions!$B$50</f>
        <v>1.1856012252876926</v>
      </c>
      <c r="K978">
        <f t="shared" si="125"/>
        <v>3</v>
      </c>
    </row>
    <row r="979" spans="1:11" ht="15">
      <c r="A979" s="562">
        <f t="shared" si="126"/>
        <v>150500</v>
      </c>
      <c r="B979" s="277">
        <f>A979*Conversions!B$35</f>
        <v>45872.41251399414</v>
      </c>
      <c r="C979" s="573">
        <f t="shared" si="127"/>
        <v>0.03426695703448966</v>
      </c>
      <c r="D979" s="278">
        <f>C979*Conversions!$B$53</f>
        <v>0.8703807040950864</v>
      </c>
      <c r="E979" s="279">
        <f>C979*Conversions!$B$59</f>
        <v>0.01683041424655446</v>
      </c>
      <c r="F979" s="280">
        <f>H979*Conversions!$D$67</f>
        <v>0.0011833741862387539</v>
      </c>
      <c r="G979" s="281">
        <f t="shared" si="123"/>
        <v>0.01160412168979403</v>
      </c>
      <c r="H979" s="282">
        <f>C979*Conversions!$B$50</f>
        <v>1.160412168979403</v>
      </c>
      <c r="K979">
        <f t="shared" si="125"/>
        <v>3</v>
      </c>
    </row>
    <row r="980" spans="1:11" ht="15">
      <c r="A980" s="562">
        <f t="shared" si="126"/>
        <v>151000</v>
      </c>
      <c r="B980" s="277">
        <f>A980*Conversions!B$35</f>
        <v>46024.81255556887</v>
      </c>
      <c r="C980" s="573">
        <f t="shared" si="127"/>
        <v>0.033539380292172044</v>
      </c>
      <c r="D980" s="278">
        <f>C980*Conversions!$B$53</f>
        <v>0.8519002549374844</v>
      </c>
      <c r="E980" s="279">
        <f>C980*Conversions!$B$59</f>
        <v>0.016473060719159566</v>
      </c>
      <c r="F980" s="280">
        <f>H980*Conversions!$D$67</f>
        <v>0.0011582480702985564</v>
      </c>
      <c r="G980" s="281">
        <f t="shared" si="123"/>
        <v>0.011357735964676397</v>
      </c>
      <c r="H980" s="282">
        <f>C980*Conversions!$B$50</f>
        <v>1.1357735964676396</v>
      </c>
      <c r="K980">
        <f t="shared" si="125"/>
        <v>3</v>
      </c>
    </row>
    <row r="981" spans="1:11" ht="15">
      <c r="A981" s="562">
        <f t="shared" si="126"/>
        <v>151500</v>
      </c>
      <c r="B981" s="277">
        <f>A981*Conversions!B$35</f>
        <v>46177.2125971436</v>
      </c>
      <c r="C981" s="573">
        <f t="shared" si="127"/>
        <v>0.03282769419864982</v>
      </c>
      <c r="D981" s="278">
        <f>C981*Conversions!$B$53</f>
        <v>0.8338234282571612</v>
      </c>
      <c r="E981" s="279">
        <f>C981*Conversions!$B$59</f>
        <v>0.016123511975877948</v>
      </c>
      <c r="F981" s="280">
        <f>H981*Conversions!$D$67</f>
        <v>0.0011336707216027958</v>
      </c>
      <c r="G981" s="281">
        <f t="shared" si="123"/>
        <v>0.011116731430020638</v>
      </c>
      <c r="H981" s="282">
        <f>C981*Conversions!$B$50</f>
        <v>1.1116731430020639</v>
      </c>
      <c r="K981">
        <f t="shared" si="125"/>
        <v>3</v>
      </c>
    </row>
    <row r="982" spans="1:11" ht="15">
      <c r="A982" s="562">
        <f t="shared" si="126"/>
        <v>152000</v>
      </c>
      <c r="B982" s="277">
        <f>A982*Conversions!B$35</f>
        <v>46329.61263871833</v>
      </c>
      <c r="C982" s="573">
        <f t="shared" si="127"/>
        <v>0.03213154204597443</v>
      </c>
      <c r="D982" s="278">
        <f>C982*Conversions!$B$53</f>
        <v>0.8161411636722709</v>
      </c>
      <c r="E982" s="279">
        <f>C982*Conversions!$B$59</f>
        <v>0.015781592817536435</v>
      </c>
      <c r="F982" s="280">
        <f>H982*Conversions!$D$67</f>
        <v>0.0011096298216086284</v>
      </c>
      <c r="G982" s="281">
        <f t="shared" si="123"/>
        <v>0.01088098729067011</v>
      </c>
      <c r="H982" s="282">
        <f>C982*Conversions!$B$50</f>
        <v>1.088098729067011</v>
      </c>
      <c r="K982">
        <f t="shared" si="125"/>
        <v>3</v>
      </c>
    </row>
    <row r="983" spans="1:11" ht="15">
      <c r="A983" s="562">
        <f t="shared" si="126"/>
        <v>152500</v>
      </c>
      <c r="B983" s="277">
        <f>A983*Conversions!B$35</f>
        <v>46482.01268029307</v>
      </c>
      <c r="C983" s="573">
        <f t="shared" si="127"/>
        <v>0.031450575349763706</v>
      </c>
      <c r="D983" s="278">
        <f>C983*Conversions!$B$53</f>
        <v>0.7988446096795528</v>
      </c>
      <c r="E983" s="279">
        <f>C983*Conversions!$B$59</f>
        <v>0.01544713208401409</v>
      </c>
      <c r="F983" s="280">
        <f>H983*Conversions!$D$67</f>
        <v>0.0010861133357656344</v>
      </c>
      <c r="G983" s="281">
        <f t="shared" si="123"/>
        <v>0.010650385536286933</v>
      </c>
      <c r="H983" s="282">
        <f>C983*Conversions!$B$50</f>
        <v>1.0650385536286933</v>
      </c>
      <c r="K983">
        <f t="shared" si="125"/>
        <v>3</v>
      </c>
    </row>
    <row r="984" spans="1:11" ht="15">
      <c r="A984" s="562">
        <f t="shared" si="126"/>
        <v>153000</v>
      </c>
      <c r="B984" s="277">
        <f>A984*Conversions!B$35</f>
        <v>46634.4127218678</v>
      </c>
      <c r="C984" s="573">
        <f t="shared" si="127"/>
        <v>0.0307844536546359</v>
      </c>
      <c r="D984" s="278">
        <f>C984*Conversions!$B$53</f>
        <v>0.7819251187123566</v>
      </c>
      <c r="E984" s="279">
        <f>C984*Conversions!$B$59</f>
        <v>0.015119962558679988</v>
      </c>
      <c r="F984" s="280">
        <f>H984*Conversions!$D$67</f>
        <v>0.001063109506796682</v>
      </c>
      <c r="G984" s="281">
        <f t="shared" si="123"/>
        <v>0.010424810875464412</v>
      </c>
      <c r="H984" s="282">
        <f>C984*Conversions!$B$50</f>
        <v>1.0424810875464412</v>
      </c>
      <c r="K984">
        <f t="shared" si="125"/>
        <v>3</v>
      </c>
    </row>
    <row r="985" spans="1:11" ht="15">
      <c r="A985" s="562">
        <f t="shared" si="126"/>
        <v>153500</v>
      </c>
      <c r="B985" s="277">
        <f>A985*Conversions!B$35</f>
        <v>46786.812763442525</v>
      </c>
      <c r="C985" s="573">
        <f t="shared" si="127"/>
        <v>0.030132844344362742</v>
      </c>
      <c r="D985" s="278">
        <f>C985*Conversions!$B$53</f>
        <v>0.7653742423185282</v>
      </c>
      <c r="E985" s="279">
        <f>C985*Conversions!$B$59</f>
        <v>0.014799920875148802</v>
      </c>
      <c r="F985" s="280">
        <f>H985*Conversions!$D$67</f>
        <v>0.0010406068481417573</v>
      </c>
      <c r="G985" s="281">
        <f t="shared" si="123"/>
        <v>0.010204150671437484</v>
      </c>
      <c r="H985" s="282">
        <f>C985*Conversions!$B$50</f>
        <v>1.0204150671437484</v>
      </c>
      <c r="K985">
        <f t="shared" si="125"/>
        <v>3</v>
      </c>
    </row>
    <row r="986" spans="1:11" ht="15">
      <c r="A986" s="566">
        <f t="shared" si="126"/>
        <v>154000</v>
      </c>
      <c r="B986" s="567">
        <f>A986*Conversions!B$35</f>
        <v>46939.21280501726</v>
      </c>
      <c r="C986" s="658">
        <f>C$20*((D$20/(D$20+(E$20*(A986-B$20))))^((G$18*H$18)/(F$18*E$20)))</f>
        <v>0.029495422456627236</v>
      </c>
      <c r="D986" s="646">
        <f>C986*Conversions!$B$53</f>
        <v>0.7491837264552597</v>
      </c>
      <c r="E986" s="647">
        <f>C986*Conversions!$B$59</f>
        <v>0.014486847426298018</v>
      </c>
      <c r="F986" s="648">
        <f>H986*Conversions!$D$67</f>
        <v>0.0010185941375608157</v>
      </c>
      <c r="G986" s="649">
        <f t="shared" si="123"/>
        <v>0.009988294879352523</v>
      </c>
      <c r="H986" s="650">
        <f>C986*Conversions!$B$50</f>
        <v>0.9988294879352524</v>
      </c>
      <c r="I986" s="578"/>
      <c r="J986" s="651"/>
      <c r="K986" s="652">
        <f>K985</f>
        <v>3</v>
      </c>
    </row>
    <row r="987" spans="1:11" ht="15">
      <c r="A987" s="572">
        <f t="shared" si="126"/>
        <v>154500</v>
      </c>
      <c r="B987" s="343">
        <f>A987*Conversions!B$35</f>
        <v>47091.61284659199</v>
      </c>
      <c r="C987" s="574">
        <f>C$22*EXP((-G$18*H$18*(A987-B$22))/(F$18*D$22))</f>
        <v>0.03237403922468414</v>
      </c>
      <c r="D987" s="573">
        <f>C987*Conversions!$B$53</f>
        <v>0.8223005919790793</v>
      </c>
      <c r="E987" s="380">
        <f>C987*Conversions!$B$59</f>
        <v>0.01590069671016388</v>
      </c>
      <c r="F987" s="655">
        <f>H987*Conversions!$D$67</f>
        <v>0.0011180042127526088</v>
      </c>
      <c r="G987" s="656">
        <f t="shared" si="123"/>
        <v>0.010963106247668448</v>
      </c>
      <c r="H987" s="574">
        <f>C987*Conversions!$B$50</f>
        <v>1.0963106247668448</v>
      </c>
      <c r="K987" s="657">
        <f>K986+1</f>
        <v>4</v>
      </c>
    </row>
    <row r="988" spans="1:11" ht="15">
      <c r="A988" s="562">
        <f t="shared" si="126"/>
        <v>155000</v>
      </c>
      <c r="B988" s="277">
        <f>A988*Conversions!B$35</f>
        <v>47244.01288816672</v>
      </c>
      <c r="C988" s="576">
        <f aca="true" t="shared" si="128" ref="C988:C1028">C$22*EXP((-G$18*H$18*(A988-B$22))/(F$18*D$22))</f>
        <v>0.031757214502434704</v>
      </c>
      <c r="D988" s="573">
        <f>C988*Conversions!$B$53</f>
        <v>0.8066332441164034</v>
      </c>
      <c r="E988" s="380">
        <f>C988*Conversions!$B$59</f>
        <v>0.015597739678335084</v>
      </c>
      <c r="F988" s="655">
        <f>H988*Conversions!$D$67</f>
        <v>0.0010967028041387892</v>
      </c>
      <c r="G988" s="656">
        <f t="shared" si="123"/>
        <v>0.010754225455275601</v>
      </c>
      <c r="H988" s="574">
        <f>C988*Conversions!$B$50</f>
        <v>1.0754225455275601</v>
      </c>
      <c r="J988" s="517">
        <v>0</v>
      </c>
      <c r="K988">
        <f aca="true" t="shared" si="129" ref="K988:K995">K987</f>
        <v>4</v>
      </c>
    </row>
    <row r="989" spans="1:11" ht="15">
      <c r="A989" s="562">
        <f t="shared" si="126"/>
        <v>155500</v>
      </c>
      <c r="B989" s="277">
        <f>A989*Conversions!B$35</f>
        <v>47396.412929741455</v>
      </c>
      <c r="C989" s="576">
        <f t="shared" si="128"/>
        <v>0.031152142182637666</v>
      </c>
      <c r="D989" s="573">
        <f>C989*Conversions!$B$53</f>
        <v>0.7912644072744472</v>
      </c>
      <c r="E989" s="380">
        <f>C989*Conversions!$B$59</f>
        <v>0.015300554906980627</v>
      </c>
      <c r="F989" s="655">
        <f>H989*Conversions!$D$67</f>
        <v>0.0010758072526798506</v>
      </c>
      <c r="G989" s="656">
        <f t="shared" si="123"/>
        <v>0.01054932448251097</v>
      </c>
      <c r="H989" s="574">
        <f>C989*Conversions!$B$50</f>
        <v>1.0549324482510969</v>
      </c>
      <c r="J989" s="517">
        <v>36089</v>
      </c>
      <c r="K989">
        <f t="shared" si="129"/>
        <v>4</v>
      </c>
    </row>
    <row r="990" spans="1:11" ht="15">
      <c r="A990" s="562">
        <f t="shared" si="126"/>
        <v>156000</v>
      </c>
      <c r="B990" s="277">
        <f>A990*Conversions!B$35</f>
        <v>47548.81297131618</v>
      </c>
      <c r="C990" s="576">
        <f t="shared" si="128"/>
        <v>0.03055859834598755</v>
      </c>
      <c r="D990" s="573">
        <f>C990*Conversions!$B$53</f>
        <v>0.7761883939028817</v>
      </c>
      <c r="E990" s="380">
        <f>C990*Conversions!$B$59</f>
        <v>0.015009032416837828</v>
      </c>
      <c r="F990" s="655">
        <f>H990*Conversions!$D$67</f>
        <v>0.0010553098255524313</v>
      </c>
      <c r="G990" s="656">
        <f t="shared" si="123"/>
        <v>0.01034832750160651</v>
      </c>
      <c r="H990" s="574">
        <f>C990*Conversions!$B$50</f>
        <v>1.0348327501606511</v>
      </c>
      <c r="J990" s="517">
        <v>65617</v>
      </c>
      <c r="K990">
        <f t="shared" si="129"/>
        <v>4</v>
      </c>
    </row>
    <row r="991" spans="1:11" ht="15">
      <c r="A991" s="562">
        <f t="shared" si="126"/>
        <v>156500</v>
      </c>
      <c r="B991" s="277">
        <f>A991*Conversions!B$35</f>
        <v>47701.21301289091</v>
      </c>
      <c r="C991" s="576">
        <f t="shared" si="128"/>
        <v>0.02997636333952831</v>
      </c>
      <c r="D991" s="573">
        <f>C991*Conversions!$B$53</f>
        <v>0.7613996248166527</v>
      </c>
      <c r="E991" s="380">
        <f>C991*Conversions!$B$59</f>
        <v>0.01472306432408622</v>
      </c>
      <c r="F991" s="655">
        <f>H991*Conversions!$D$67</f>
        <v>0.0010352029372671676</v>
      </c>
      <c r="G991" s="656">
        <f t="shared" si="123"/>
        <v>0.010151160129545702</v>
      </c>
      <c r="H991" s="574">
        <f>C991*Conversions!$B$50</f>
        <v>1.0151160129545702</v>
      </c>
      <c r="J991" s="517">
        <v>104987</v>
      </c>
      <c r="K991">
        <f t="shared" si="129"/>
        <v>4</v>
      </c>
    </row>
    <row r="992" spans="1:11" ht="15">
      <c r="A992" s="562">
        <f t="shared" si="126"/>
        <v>157000</v>
      </c>
      <c r="B992" s="277">
        <f>A992*Conversions!B$35</f>
        <v>47853.61305446565</v>
      </c>
      <c r="C992" s="576">
        <f t="shared" si="128"/>
        <v>0.02940522169536626</v>
      </c>
      <c r="D992" s="573">
        <f>C992*Conversions!$B$53</f>
        <v>0.7468926271312892</v>
      </c>
      <c r="E992" s="380">
        <f>C992*Conversions!$B$59</f>
        <v>0.014442544800422927</v>
      </c>
      <c r="F992" s="655">
        <f>H992*Conversions!$D$67</f>
        <v>0.001015479146861528</v>
      </c>
      <c r="G992" s="656">
        <f t="shared" si="123"/>
        <v>0.009957749400536562</v>
      </c>
      <c r="H992" s="574">
        <f>C992*Conversions!$B$50</f>
        <v>0.9957749400536563</v>
      </c>
      <c r="I992" s="79" t="str">
        <f>CONCATENATE("L",M140,"/F",N140)</f>
        <v>L4/F2</v>
      </c>
      <c r="J992" s="642">
        <v>154199</v>
      </c>
      <c r="K992">
        <f t="shared" si="129"/>
        <v>4</v>
      </c>
    </row>
    <row r="993" spans="1:12" ht="15">
      <c r="A993" s="562">
        <f t="shared" si="126"/>
        <v>157500</v>
      </c>
      <c r="B993" s="277">
        <f>A993*Conversions!B$35</f>
        <v>48006.01309604038</v>
      </c>
      <c r="C993" s="576">
        <f t="shared" si="128"/>
        <v>0.028844962050931847</v>
      </c>
      <c r="D993" s="573">
        <f>C993*Conversions!$B$53</f>
        <v>0.732662032237553</v>
      </c>
      <c r="E993" s="380">
        <f>C993*Conversions!$B$59</f>
        <v>0.014167370033898787</v>
      </c>
      <c r="F993" s="655">
        <f>H993*Conversions!$D$67</f>
        <v>0.0009961311551461365</v>
      </c>
      <c r="G993" s="656">
        <f t="shared" si="123"/>
        <v>0.009768023739009219</v>
      </c>
      <c r="H993" s="574">
        <f>C993*Conversions!$B$50</f>
        <v>0.9768023739009218</v>
      </c>
      <c r="J993" s="642">
        <v>167323</v>
      </c>
      <c r="K993">
        <f t="shared" si="129"/>
        <v>4</v>
      </c>
      <c r="L993" s="420"/>
    </row>
    <row r="994" spans="1:11" ht="15">
      <c r="A994" s="562">
        <f t="shared" si="126"/>
        <v>158000</v>
      </c>
      <c r="B994" s="277">
        <f>A994*Conversions!B$35</f>
        <v>48158.41313761511</v>
      </c>
      <c r="C994" s="576">
        <f t="shared" si="128"/>
        <v>0.028295377070760592</v>
      </c>
      <c r="D994" s="278">
        <f>C994*Conversions!$B$53</f>
        <v>0.718702573814674</v>
      </c>
      <c r="E994" s="279">
        <f>C994*Conversions!$B$59</f>
        <v>0.013897438190500589</v>
      </c>
      <c r="F994" s="280">
        <f>H994*Conversions!$D$67</f>
        <v>0.0009771518020035561</v>
      </c>
      <c r="G994" s="281">
        <f t="shared" si="123"/>
        <v>0.009581912933127873</v>
      </c>
      <c r="H994" s="282">
        <f>C994*Conversions!$B$50</f>
        <v>0.9581912933127873</v>
      </c>
      <c r="J994" s="506">
        <v>232940</v>
      </c>
      <c r="K994">
        <f t="shared" si="129"/>
        <v>4</v>
      </c>
    </row>
    <row r="995" spans="1:11" ht="15">
      <c r="A995" s="562">
        <f t="shared" si="126"/>
        <v>158500</v>
      </c>
      <c r="B995" s="277">
        <f>A995*Conversions!B$35</f>
        <v>48310.81317918984</v>
      </c>
      <c r="C995" s="576">
        <f t="shared" si="128"/>
        <v>0.027756263369764417</v>
      </c>
      <c r="D995" s="278">
        <f>C995*Conversions!$B$53</f>
        <v>0.7050090858814421</v>
      </c>
      <c r="E995" s="279">
        <f>C995*Conversions!$B$59</f>
        <v>0.013632649376465357</v>
      </c>
      <c r="F995" s="280">
        <f>H995*Conversions!$D$67</f>
        <v>0.0009585340637385451</v>
      </c>
      <c r="G995" s="281">
        <f t="shared" si="123"/>
        <v>0.009399348108807515</v>
      </c>
      <c r="H995" s="282">
        <f>C995*Conversions!$B$50</f>
        <v>0.9399348108807516</v>
      </c>
      <c r="J995" s="535">
        <v>280001</v>
      </c>
      <c r="K995">
        <f t="shared" si="129"/>
        <v>4</v>
      </c>
    </row>
    <row r="996" spans="1:11" ht="15">
      <c r="A996" s="562">
        <f t="shared" si="126"/>
        <v>159000</v>
      </c>
      <c r="B996" s="277">
        <f>A996*Conversions!B$35</f>
        <v>48463.21322076457</v>
      </c>
      <c r="C996" s="576">
        <f t="shared" si="128"/>
        <v>0.027227421437964843</v>
      </c>
      <c r="D996" s="278">
        <f>C996*Conversions!$B$53</f>
        <v>0.6915765008844308</v>
      </c>
      <c r="E996" s="279">
        <f>C996*Conversions!$B$59</f>
        <v>0.013372905601312622</v>
      </c>
      <c r="F996" s="280">
        <f>H996*Conversions!$D$67</f>
        <v>0.0009402710504787927</v>
      </c>
      <c r="G996" s="281">
        <f t="shared" si="123"/>
        <v>0.00922026170422565</v>
      </c>
      <c r="H996" s="282">
        <f>C996*Conversions!$B$50</f>
        <v>0.9220261704225651</v>
      </c>
      <c r="K996">
        <f t="shared" si="125"/>
        <v>4</v>
      </c>
    </row>
    <row r="997" spans="1:11" ht="15">
      <c r="A997" s="562">
        <f t="shared" si="126"/>
        <v>159500</v>
      </c>
      <c r="B997" s="277">
        <f>A997*Conversions!B$35</f>
        <v>48615.613262339306</v>
      </c>
      <c r="C997" s="576">
        <f t="shared" si="128"/>
        <v>0.026708655566660293</v>
      </c>
      <c r="D997" s="278">
        <f>C997*Conversions!$B$53</f>
        <v>0.678399847822646</v>
      </c>
      <c r="E997" s="279">
        <f>C997*Conversions!$B$59</f>
        <v>0.013118110741581058</v>
      </c>
      <c r="F997" s="280">
        <f>H997*Conversions!$D$67</f>
        <v>0.0009223560036251845</v>
      </c>
      <c r="G997" s="281">
        <f t="shared" si="123"/>
        <v>0.009044587444819684</v>
      </c>
      <c r="H997" s="282">
        <f>C997*Conversions!$B$50</f>
        <v>0.9044587444819685</v>
      </c>
      <c r="K997">
        <f t="shared" si="125"/>
        <v>4</v>
      </c>
    </row>
    <row r="998" spans="1:11" ht="15">
      <c r="A998" s="562">
        <f t="shared" si="126"/>
        <v>160000</v>
      </c>
      <c r="B998" s="277">
        <f>A998*Conversions!B$35</f>
        <v>48768.013303914035</v>
      </c>
      <c r="C998" s="576">
        <f t="shared" si="128"/>
        <v>0.026199773776000086</v>
      </c>
      <c r="D998" s="278">
        <f>C998*Conversions!$B$53</f>
        <v>0.6654742504079062</v>
      </c>
      <c r="E998" s="279">
        <f>C998*Conversions!$B$59</f>
        <v>0.012868170505256037</v>
      </c>
      <c r="F998" s="280">
        <f>H998*Conversions!$D$67</f>
        <v>0.0009047822933506441</v>
      </c>
      <c r="G998" s="281">
        <f t="shared" si="123"/>
        <v>0.00887226031876067</v>
      </c>
      <c r="H998" s="282">
        <f>C998*Conversions!$B$50</f>
        <v>0.887226031876067</v>
      </c>
      <c r="K998">
        <f t="shared" si="125"/>
        <v>4</v>
      </c>
    </row>
    <row r="999" spans="1:11" ht="15">
      <c r="A999" s="562">
        <f t="shared" si="126"/>
        <v>160500</v>
      </c>
      <c r="B999" s="277">
        <f>A999*Conversions!B$35</f>
        <v>48920.41334548876</v>
      </c>
      <c r="C999" s="576">
        <f t="shared" si="128"/>
        <v>0.02570058774393841</v>
      </c>
      <c r="D999" s="278">
        <f>C999*Conversions!$B$53</f>
        <v>0.6527949252602729</v>
      </c>
      <c r="E999" s="279">
        <f>C999*Conversions!$B$59</f>
        <v>0.012622992396874961</v>
      </c>
      <c r="F999" s="280">
        <f>H999*Conversions!$D$67</f>
        <v>0.0008875434161466318</v>
      </c>
      <c r="G999" s="281">
        <f t="shared" si="123"/>
        <v>0.008703216552894362</v>
      </c>
      <c r="H999" s="282">
        <f>C999*Conversions!$B$50</f>
        <v>0.8703216552894363</v>
      </c>
      <c r="K999">
        <f t="shared" si="125"/>
        <v>4</v>
      </c>
    </row>
    <row r="1000" spans="1:11" ht="15">
      <c r="A1000" s="562">
        <f t="shared" si="126"/>
        <v>161000</v>
      </c>
      <c r="B1000" s="277">
        <f>A1000*Conversions!B$35</f>
        <v>49072.8133870635</v>
      </c>
      <c r="C1000" s="576">
        <f t="shared" si="128"/>
        <v>0.025210912736541902</v>
      </c>
      <c r="D1000" s="278">
        <f>C1000*Conversions!$B$53</f>
        <v>0.6403571801378634</v>
      </c>
      <c r="E1000" s="279">
        <f>C1000*Conversions!$B$59</f>
        <v>0.01238248568329742</v>
      </c>
      <c r="F1000" s="280">
        <f>H1000*Conversions!$D$67</f>
        <v>0.0008706329924163873</v>
      </c>
      <c r="G1000" s="281">
        <f aca="true" t="shared" si="130" ref="G1000:G1028">H1000/100</f>
        <v>0.008537393589140659</v>
      </c>
      <c r="H1000" s="282">
        <f>C1000*Conversions!$B$50</f>
        <v>0.8537393589140659</v>
      </c>
      <c r="K1000">
        <f aca="true" t="shared" si="131" ref="K1000:K1028">K999</f>
        <v>4</v>
      </c>
    </row>
    <row r="1001" spans="1:11" ht="15">
      <c r="A1001" s="562">
        <f t="shared" si="126"/>
        <v>161500</v>
      </c>
      <c r="B1001" s="277">
        <f>A1001*Conversions!B$35</f>
        <v>49225.21342863823</v>
      </c>
      <c r="C1001" s="576">
        <f t="shared" si="128"/>
        <v>0.02473056753962513</v>
      </c>
      <c r="D1001" s="278">
        <f>C1001*Conversions!$B$53</f>
        <v>0.628156412200392</v>
      </c>
      <c r="E1001" s="279">
        <f>C1001*Conversions!$B$59</f>
        <v>0.012146561360127579</v>
      </c>
      <c r="F1001" s="280">
        <f>H1001*Conversions!$D$67</f>
        <v>0.0008540447641140331</v>
      </c>
      <c r="G1001" s="281">
        <f t="shared" si="130"/>
        <v>0.008374730061342726</v>
      </c>
      <c r="H1001" s="282">
        <f>C1001*Conversions!$B$50</f>
        <v>0.8374730061342726</v>
      </c>
      <c r="K1001">
        <f t="shared" si="131"/>
        <v>4</v>
      </c>
    </row>
    <row r="1002" spans="1:11" ht="15">
      <c r="A1002" s="562">
        <f t="shared" si="126"/>
        <v>162000</v>
      </c>
      <c r="B1002" s="277">
        <f>A1002*Conversions!B$35</f>
        <v>49377.613470212964</v>
      </c>
      <c r="C1002" s="576">
        <f t="shared" si="128"/>
        <v>0.024259374391688588</v>
      </c>
      <c r="D1002" s="278">
        <f>C1002*Conversions!$B$53</f>
        <v>0.6161881063057949</v>
      </c>
      <c r="E1002" s="279">
        <f>C1002*Conversions!$B$59</f>
        <v>0.011915132118776265</v>
      </c>
      <c r="F1002" s="280">
        <f>H1002*Conversions!$D$67</f>
        <v>0.0008377725924286552</v>
      </c>
      <c r="G1002" s="281">
        <f t="shared" si="130"/>
        <v>0.008215165772557192</v>
      </c>
      <c r="H1002" s="282">
        <f>C1002*Conversions!$B$50</f>
        <v>0.8215165772557192</v>
      </c>
      <c r="K1002">
        <f t="shared" si="131"/>
        <v>4</v>
      </c>
    </row>
    <row r="1003" spans="1:11" ht="15">
      <c r="A1003" s="562">
        <f t="shared" si="126"/>
        <v>162500</v>
      </c>
      <c r="B1003" s="277">
        <f>A1003*Conversions!B$35</f>
        <v>49530.01351178769</v>
      </c>
      <c r="C1003" s="576">
        <f t="shared" si="128"/>
        <v>0.023797158918134425</v>
      </c>
      <c r="D1003" s="278">
        <f>C1003*Conversions!$B$53</f>
        <v>0.6044478333393101</v>
      </c>
      <c r="E1003" s="279">
        <f>C1003*Conversions!$B$59</f>
        <v>0.011688112314150657</v>
      </c>
      <c r="F1003" s="280">
        <f>H1003*Conversions!$D$67</f>
        <v>0.0008218104555125121</v>
      </c>
      <c r="G1003" s="281">
        <f t="shared" si="130"/>
        <v>0.008058641672777051</v>
      </c>
      <c r="H1003" s="282">
        <f>C1003*Conversions!$B$50</f>
        <v>0.8058641672777052</v>
      </c>
      <c r="K1003">
        <f t="shared" si="131"/>
        <v>4</v>
      </c>
    </row>
    <row r="1004" spans="1:11" ht="15">
      <c r="A1004" s="562">
        <f t="shared" si="126"/>
        <v>163000</v>
      </c>
      <c r="B1004" s="277">
        <f>A1004*Conversions!B$35</f>
        <v>49682.41355336242</v>
      </c>
      <c r="C1004" s="576">
        <f t="shared" si="128"/>
        <v>0.023343750066735624</v>
      </c>
      <c r="D1004" s="278">
        <f>C1004*Conversions!$B$53</f>
        <v>0.592931248574394</v>
      </c>
      <c r="E1004" s="279">
        <f>C1004*Conversions!$B$59</f>
        <v>0.011465417932959599</v>
      </c>
      <c r="F1004" s="280">
        <f>H1004*Conversions!$D$67</f>
        <v>0.0008061524462525283</v>
      </c>
      <c r="G1004" s="281">
        <f t="shared" si="130"/>
        <v>0.00790509983707901</v>
      </c>
      <c r="H1004" s="282">
        <f>C1004*Conversions!$B$50</f>
        <v>0.790509983707901</v>
      </c>
      <c r="K1004">
        <f t="shared" si="131"/>
        <v>4</v>
      </c>
    </row>
    <row r="1005" spans="1:11" ht="15">
      <c r="A1005" s="562">
        <f t="shared" si="126"/>
        <v>163500</v>
      </c>
      <c r="B1005" s="277">
        <f>A1005*Conversions!B$35</f>
        <v>49834.81359493716</v>
      </c>
      <c r="C1005" s="576">
        <f t="shared" si="128"/>
        <v>0.022898980044334594</v>
      </c>
      <c r="D1005" s="278">
        <f>C1005*Conversions!$B$53</f>
        <v>0.5816340900648667</v>
      </c>
      <c r="E1005" s="279">
        <f>C1005*Conversions!$B$59</f>
        <v>0.011246966562622737</v>
      </c>
      <c r="F1005" s="280">
        <f>H1005*Conversions!$D$67</f>
        <v>0.000790792770084246</v>
      </c>
      <c r="G1005" s="281">
        <f t="shared" si="130"/>
        <v>0.0077544834441871865</v>
      </c>
      <c r="H1005" s="282">
        <f>C1005*Conversions!$B$50</f>
        <v>0.7754483444187187</v>
      </c>
      <c r="K1005">
        <f t="shared" si="131"/>
        <v>4</v>
      </c>
    </row>
    <row r="1006" spans="1:11" ht="15">
      <c r="A1006" s="562">
        <f t="shared" si="126"/>
        <v>164000</v>
      </c>
      <c r="B1006" s="277">
        <f>A1006*Conversions!B$35</f>
        <v>49987.213636511886</v>
      </c>
      <c r="C1006" s="576">
        <f t="shared" si="128"/>
        <v>0.02246268425474797</v>
      </c>
      <c r="D1006" s="278">
        <f>C1006*Conversions!$B$53</f>
        <v>0.5705521770676922</v>
      </c>
      <c r="E1006" s="279">
        <f>C1006*Conversions!$B$59</f>
        <v>0.011032677360772111</v>
      </c>
      <c r="F1006" s="280">
        <f>H1006*Conversions!$D$67</f>
        <v>0.0007757257428474296</v>
      </c>
      <c r="G1006" s="281">
        <f t="shared" si="130"/>
        <v>0.007606736755445253</v>
      </c>
      <c r="H1006" s="282">
        <f>C1006*Conversions!$B$50</f>
        <v>0.7606736755445253</v>
      </c>
      <c r="K1006">
        <f t="shared" si="131"/>
        <v>4</v>
      </c>
    </row>
    <row r="1007" spans="1:11" ht="15">
      <c r="A1007" s="562">
        <f t="shared" si="126"/>
        <v>164500</v>
      </c>
      <c r="B1007" s="277">
        <f>A1007*Conversions!B$35</f>
        <v>50139.613678086615</v>
      </c>
      <c r="C1007" s="576">
        <f t="shared" si="128"/>
        <v>0.022034701237854382</v>
      </c>
      <c r="D1007" s="278">
        <f>C1007*Conversions!$B$53</f>
        <v>0.5596814084958097</v>
      </c>
      <c r="E1007" s="279">
        <f>C1007*Conversions!$B$59</f>
        <v>0.010822471025334762</v>
      </c>
      <c r="F1007" s="280">
        <f>H1007*Conversions!$D$67</f>
        <v>0.0007609457886825267</v>
      </c>
      <c r="G1007" s="281">
        <f t="shared" si="130"/>
        <v>0.0074618050941892</v>
      </c>
      <c r="H1007" s="282">
        <f>C1007*Conversions!$B$50</f>
        <v>0.74618050941892</v>
      </c>
      <c r="K1007">
        <f t="shared" si="131"/>
        <v>4</v>
      </c>
    </row>
    <row r="1008" spans="1:11" ht="15">
      <c r="A1008" s="562">
        <f aca="true" t="shared" si="132" ref="A1008:A1028">A1007+500</f>
        <v>165000</v>
      </c>
      <c r="B1008" s="277">
        <f>A1008*Conversions!B$35</f>
        <v>50292.01371966135</v>
      </c>
      <c r="C1008" s="576">
        <f t="shared" si="128"/>
        <v>0.02161487260984291</v>
      </c>
      <c r="D1008" s="278">
        <f>C1008*Conversions!$B$53</f>
        <v>0.5490177614004428</v>
      </c>
      <c r="E1008" s="279">
        <f>C1008*Conversions!$B$59</f>
        <v>0.010616269765185402</v>
      </c>
      <c r="F1008" s="280">
        <f>H1008*Conversions!$D$67</f>
        <v>0.0007464474379672073</v>
      </c>
      <c r="G1008" s="281">
        <f t="shared" si="130"/>
        <v>0.007319634825513139</v>
      </c>
      <c r="H1008" s="282">
        <f>C1008*Conversions!$B$50</f>
        <v>0.7319634825513139</v>
      </c>
      <c r="K1008">
        <f t="shared" si="131"/>
        <v>4</v>
      </c>
    </row>
    <row r="1009" spans="1:11" ht="15">
      <c r="A1009" s="562">
        <f t="shared" si="132"/>
        <v>165500</v>
      </c>
      <c r="B1009" s="277">
        <f>A1009*Conversions!B$35</f>
        <v>50444.41376123608</v>
      </c>
      <c r="C1009" s="576">
        <f t="shared" si="128"/>
        <v>0.021203043004599905</v>
      </c>
      <c r="D1009" s="278">
        <f>C1009*Conversions!$B$53</f>
        <v>0.5385572894823256</v>
      </c>
      <c r="E1009" s="279">
        <f>C1009*Conversions!$B$59</f>
        <v>0.010413997271358232</v>
      </c>
      <c r="F1009" s="280">
        <f>H1009*Conversions!$D$67</f>
        <v>0.0007322253252922199</v>
      </c>
      <c r="G1009" s="281">
        <f t="shared" si="130"/>
        <v>0.00718017333642061</v>
      </c>
      <c r="H1009" s="282">
        <f>C1009*Conversions!$B$50</f>
        <v>0.718017333642061</v>
      </c>
      <c r="K1009">
        <f t="shared" si="131"/>
        <v>4</v>
      </c>
    </row>
    <row r="1010" spans="1:11" ht="15">
      <c r="A1010" s="562">
        <f t="shared" si="132"/>
        <v>166000</v>
      </c>
      <c r="B1010" s="277">
        <f>A1010*Conversions!B$35</f>
        <v>50596.81380281081</v>
      </c>
      <c r="C1010" s="576">
        <f t="shared" si="128"/>
        <v>0.02079906001621262</v>
      </c>
      <c r="D1010" s="278">
        <f>C1010*Conversions!$B$53</f>
        <v>0.5282961216312947</v>
      </c>
      <c r="E1010" s="279">
        <f>C1010*Conversions!$B$59</f>
        <v>0.010215578688807245</v>
      </c>
      <c r="F1010" s="280">
        <f>H1010*Conversions!$D$67</f>
        <v>0.0007182741874758117</v>
      </c>
      <c r="G1010" s="281">
        <f t="shared" si="130"/>
        <v>0.00704336901635407</v>
      </c>
      <c r="H1010" s="282">
        <f>C1010*Conversions!$B$50</f>
        <v>0.704336901635407</v>
      </c>
      <c r="K1010">
        <f t="shared" si="131"/>
        <v>4</v>
      </c>
    </row>
    <row r="1011" spans="1:11" ht="15">
      <c r="A1011" s="562">
        <f t="shared" si="132"/>
        <v>166500</v>
      </c>
      <c r="B1011" s="277">
        <f>A1011*Conversions!B$35</f>
        <v>50749.213844385544</v>
      </c>
      <c r="C1011" s="576">
        <f t="shared" si="128"/>
        <v>0.020402774142568292</v>
      </c>
      <c r="D1011" s="278">
        <f>C1011*Conversions!$B$53</f>
        <v>0.5182304604937059</v>
      </c>
      <c r="E1011" s="279">
        <f>C1011*Conversions!$B$59</f>
        <v>0.010020940588704607</v>
      </c>
      <c r="F1011" s="280">
        <f>H1011*Conversions!$D$67</f>
        <v>0.0007045888616159821</v>
      </c>
      <c r="G1011" s="281">
        <f t="shared" si="130"/>
        <v>0.0069091712380953615</v>
      </c>
      <c r="H1011" s="282">
        <f>C1011*Conversions!$B$50</f>
        <v>0.6909171238095362</v>
      </c>
      <c r="K1011">
        <f t="shared" si="131"/>
        <v>4</v>
      </c>
    </row>
    <row r="1012" spans="1:11" ht="15">
      <c r="A1012" s="566">
        <f t="shared" si="132"/>
        <v>167000</v>
      </c>
      <c r="B1012" s="567">
        <f>A1012*Conversions!B$35</f>
        <v>50901.61388596027</v>
      </c>
      <c r="C1012" s="658">
        <f t="shared" si="128"/>
        <v>0.020014038730027862</v>
      </c>
      <c r="D1012" s="646">
        <f>C1012*Conversions!$B$53</f>
        <v>0.5083565810671468</v>
      </c>
      <c r="E1012" s="647">
        <f>C1012*Conversions!$B$59</f>
        <v>0.009830010941266827</v>
      </c>
      <c r="F1012" s="648">
        <f>H1012*Conversions!$D$67</f>
        <v>0.000691164283179846</v>
      </c>
      <c r="G1012" s="649">
        <f t="shared" si="130"/>
        <v>0.006777530339030086</v>
      </c>
      <c r="H1012" s="650">
        <f>C1012*Conversions!$B$50</f>
        <v>0.6777530339030086</v>
      </c>
      <c r="I1012" s="578"/>
      <c r="J1012" s="651"/>
      <c r="K1012" s="652">
        <f t="shared" si="131"/>
        <v>4</v>
      </c>
    </row>
    <row r="1013" spans="1:11" ht="15">
      <c r="A1013" s="572">
        <f t="shared" si="132"/>
        <v>167500</v>
      </c>
      <c r="B1013" s="343">
        <f>A1013*Conversions!B$35</f>
        <v>51054.01392753501</v>
      </c>
      <c r="C1013" s="574">
        <f t="shared" si="128"/>
        <v>0.01963270991915381</v>
      </c>
      <c r="D1013" s="573">
        <f>C1013*Conversions!$B$53</f>
        <v>0.4986708293219235</v>
      </c>
      <c r="E1013" s="380">
        <f>C1013*Conversions!$B$59</f>
        <v>0.009642719089098667</v>
      </c>
      <c r="F1013" s="655">
        <f>H1013*Conversions!$D$67</f>
        <v>0.0006779954841293996</v>
      </c>
      <c r="G1013" s="656">
        <f t="shared" si="130"/>
        <v>0.006648397602768934</v>
      </c>
      <c r="H1013" s="574">
        <f>C1013*Conversions!$B$50</f>
        <v>0.6648397602768934</v>
      </c>
      <c r="K1013" s="657">
        <f>K1012+1</f>
        <v>5</v>
      </c>
    </row>
    <row r="1014" spans="1:11" ht="15">
      <c r="A1014" s="562">
        <f t="shared" si="132"/>
        <v>168000</v>
      </c>
      <c r="B1014" s="277">
        <f>A1014*Conversions!B$35</f>
        <v>51206.41396910974</v>
      </c>
      <c r="C1014" s="576">
        <f t="shared" si="128"/>
        <v>0.01925864659147203</v>
      </c>
      <c r="D1014" s="278">
        <f>C1014*Conversions!$B$53</f>
        <v>0.4891696208488126</v>
      </c>
      <c r="E1014" s="279">
        <f>C1014*Conversions!$B$59</f>
        <v>0.009458995721044933</v>
      </c>
      <c r="F1014" s="280">
        <f>H1014*Conversions!$D$67</f>
        <v>0.0006650775910829976</v>
      </c>
      <c r="G1014" s="281">
        <f t="shared" si="130"/>
        <v>0.006521725241119202</v>
      </c>
      <c r="H1014" s="282">
        <f>C1014*Conversions!$B$50</f>
        <v>0.6521725241119202</v>
      </c>
      <c r="J1014" s="517">
        <v>0</v>
      </c>
      <c r="K1014">
        <f aca="true" t="shared" si="133" ref="K1014:K1022">K1013</f>
        <v>5</v>
      </c>
    </row>
    <row r="1015" spans="1:11" ht="15">
      <c r="A1015" s="562">
        <f t="shared" si="132"/>
        <v>168500</v>
      </c>
      <c r="B1015" s="277">
        <f>A1015*Conversions!B$35</f>
        <v>51358.814010684466</v>
      </c>
      <c r="C1015" s="576">
        <f t="shared" si="128"/>
        <v>0.01889171031724811</v>
      </c>
      <c r="D1015" s="278">
        <f>C1015*Conversions!$B$53</f>
        <v>0.47984943953257864</v>
      </c>
      <c r="E1015" s="279">
        <f>C1015*Conversions!$B$59</f>
        <v>0.009278772846540493</v>
      </c>
      <c r="F1015" s="280">
        <f>H1015*Conversions!$D$67</f>
        <v>0.0006524058235118599</v>
      </c>
      <c r="G1015" s="281">
        <f t="shared" si="130"/>
        <v>0.006397466376399806</v>
      </c>
      <c r="H1015" s="282">
        <f>C1015*Conversions!$B$50</f>
        <v>0.6397466376399806</v>
      </c>
      <c r="J1015" s="517">
        <v>36089</v>
      </c>
      <c r="K1015">
        <f t="shared" si="133"/>
        <v>5</v>
      </c>
    </row>
    <row r="1016" spans="1:11" ht="15">
      <c r="A1016" s="562">
        <f t="shared" si="132"/>
        <v>169000</v>
      </c>
      <c r="B1016" s="277">
        <f>A1016*Conversions!B$35</f>
        <v>51511.2140522592</v>
      </c>
      <c r="C1016" s="576">
        <f t="shared" si="128"/>
        <v>0.01853176530425855</v>
      </c>
      <c r="D1016" s="278">
        <f>C1016*Conversions!$B$53</f>
        <v>0.4707068362507628</v>
      </c>
      <c r="E1016" s="279">
        <f>C1016*Conversions!$B$59</f>
        <v>0.00910198377044896</v>
      </c>
      <c r="F1016" s="280">
        <f>H1016*Conversions!$D$67</f>
        <v>0.0006399754919709386</v>
      </c>
      <c r="G1016" s="281">
        <f t="shared" si="130"/>
        <v>0.006275575024093229</v>
      </c>
      <c r="H1016" s="282">
        <f>C1016*Conversions!$B$50</f>
        <v>0.627557502409323</v>
      </c>
      <c r="J1016" s="517">
        <v>65617</v>
      </c>
      <c r="K1016">
        <f t="shared" si="133"/>
        <v>5</v>
      </c>
    </row>
    <row r="1017" spans="1:11" ht="15">
      <c r="A1017" s="562">
        <f t="shared" si="132"/>
        <v>169500</v>
      </c>
      <c r="B1017" s="277">
        <f>A1017*Conversions!B$35</f>
        <v>51663.61409383393</v>
      </c>
      <c r="C1017" s="576">
        <f t="shared" si="128"/>
        <v>0.018178678347538137</v>
      </c>
      <c r="D1017" s="278">
        <f>C1017*Conversions!$B$53</f>
        <v>0.46173842759726647</v>
      </c>
      <c r="E1017" s="279">
        <f>C1017*Conversions!$B$59</f>
        <v>0.008928563068380826</v>
      </c>
      <c r="F1017" s="280">
        <f>H1017*Conversions!$D$67</f>
        <v>0.0006277819963634942</v>
      </c>
      <c r="G1017" s="281">
        <f t="shared" si="130"/>
        <v>0.00615600607582803</v>
      </c>
      <c r="H1017" s="282">
        <f>C1017*Conversions!$B$50</f>
        <v>0.615600607582803</v>
      </c>
      <c r="J1017" s="517">
        <v>104987</v>
      </c>
      <c r="K1017">
        <f t="shared" si="133"/>
        <v>5</v>
      </c>
    </row>
    <row r="1018" spans="1:11" ht="15">
      <c r="A1018" s="562">
        <f t="shared" si="132"/>
        <v>170000</v>
      </c>
      <c r="B1018" s="277">
        <f>A1018*Conversions!B$35</f>
        <v>51816.01413540866</v>
      </c>
      <c r="C1018" s="576">
        <f t="shared" si="128"/>
        <v>0.01783231878008471</v>
      </c>
      <c r="D1018" s="278">
        <f>C1018*Conversions!$B$53</f>
        <v>0.45294089463025217</v>
      </c>
      <c r="E1018" s="279">
        <f>C1018*Conversions!$B$59</f>
        <v>0.008758446562481823</v>
      </c>
      <c r="F1018" s="280">
        <f>H1018*Conversions!$D$67</f>
        <v>0.0006158208242387364</v>
      </c>
      <c r="G1018" s="281">
        <f t="shared" si="130"/>
        <v>0.006038715282685566</v>
      </c>
      <c r="H1018" s="282">
        <f>C1018*Conversions!$B$50</f>
        <v>0.6038715282685566</v>
      </c>
      <c r="I1018" s="79" t="str">
        <f>CONCATENATE("L",M141,"/F",N141)</f>
        <v>L5/F1</v>
      </c>
      <c r="J1018" s="517">
        <v>154199</v>
      </c>
      <c r="K1018">
        <f t="shared" si="133"/>
        <v>5</v>
      </c>
    </row>
    <row r="1019" spans="1:11" ht="15">
      <c r="A1019" s="562">
        <f t="shared" si="132"/>
        <v>170500</v>
      </c>
      <c r="B1019" s="277">
        <f>A1019*Conversions!B$35</f>
        <v>51968.414176983395</v>
      </c>
      <c r="C1019" s="576">
        <f t="shared" si="128"/>
        <v>0.017492558424503177</v>
      </c>
      <c r="D1019" s="278">
        <f>C1019*Conversions!$B$53</f>
        <v>0.44431098164390187</v>
      </c>
      <c r="E1019" s="279">
        <f>C1019*Conversions!$B$59</f>
        <v>0.008591571297682607</v>
      </c>
      <c r="F1019" s="280">
        <f>H1019*Conversions!$D$67</f>
        <v>0.0006040875491219</v>
      </c>
      <c r="G1019" s="281">
        <f t="shared" si="130"/>
        <v>0.005923659238824784</v>
      </c>
      <c r="H1019" s="282">
        <f>C1019*Conversions!$B$50</f>
        <v>0.5923659238824784</v>
      </c>
      <c r="J1019" s="642">
        <v>167323</v>
      </c>
      <c r="K1019">
        <f t="shared" si="133"/>
        <v>5</v>
      </c>
    </row>
    <row r="1020" spans="1:11" ht="15">
      <c r="A1020" s="562">
        <f t="shared" si="132"/>
        <v>171000</v>
      </c>
      <c r="B1020" s="277">
        <f>A1020*Conversions!B$35</f>
        <v>52120.814218558124</v>
      </c>
      <c r="C1020" s="576">
        <f t="shared" si="128"/>
        <v>0.017159271545570898</v>
      </c>
      <c r="D1020" s="278">
        <f>C1020*Conversions!$B$53</f>
        <v>0.43584549496357716</v>
      </c>
      <c r="E1020" s="279">
        <f>C1020*Conversions!$B$59</f>
        <v>0.00842787551840096</v>
      </c>
      <c r="F1020" s="280">
        <f>H1020*Conversions!$D$67</f>
        <v>0.0005925778288761373</v>
      </c>
      <c r="G1020" s="281">
        <f t="shared" si="130"/>
        <v>0.005810795365419007</v>
      </c>
      <c r="H1020" s="282">
        <f>C1020*Conversions!$B$50</f>
        <v>0.5810795365419007</v>
      </c>
      <c r="J1020" s="642">
        <v>232940</v>
      </c>
      <c r="K1020">
        <f t="shared" si="133"/>
        <v>5</v>
      </c>
    </row>
    <row r="1021" spans="1:11" ht="15">
      <c r="A1021" s="562">
        <f t="shared" si="132"/>
        <v>171500</v>
      </c>
      <c r="B1021" s="277">
        <f>A1021*Conversions!B$35</f>
        <v>52273.21426013286</v>
      </c>
      <c r="C1021" s="576">
        <f t="shared" si="128"/>
        <v>0.01683233480370678</v>
      </c>
      <c r="D1021" s="278">
        <f>C1021*Conversions!$B$53</f>
        <v>0.42754130176393484</v>
      </c>
      <c r="E1021" s="279">
        <f>C1021*Conversions!$B$59</f>
        <v>0.008267298645687876</v>
      </c>
      <c r="F1021" s="280">
        <f>H1021*Conversions!$D$67</f>
        <v>0.0005812874040956237</v>
      </c>
      <c r="G1021" s="281">
        <f t="shared" si="130"/>
        <v>0.005700081894898777</v>
      </c>
      <c r="H1021" s="282">
        <f>C1021*Conversions!$B$50</f>
        <v>0.5700081894898776</v>
      </c>
      <c r="J1021" s="535">
        <v>280001</v>
      </c>
      <c r="K1021">
        <f t="shared" si="133"/>
        <v>5</v>
      </c>
    </row>
    <row r="1022" spans="1:11" ht="15">
      <c r="A1022" s="562">
        <f t="shared" si="132"/>
        <v>172000</v>
      </c>
      <c r="B1022" s="277">
        <f>A1022*Conversions!B$35</f>
        <v>52425.61430170759</v>
      </c>
      <c r="C1022" s="576">
        <f t="shared" si="128"/>
        <v>0.016511627209326973</v>
      </c>
      <c r="D1022" s="278">
        <f>C1022*Conversions!$B$53</f>
        <v>0.4193953289095613</v>
      </c>
      <c r="E1022" s="279">
        <f>C1022*Conversions!$B$59</f>
        <v>0.008109781254809096</v>
      </c>
      <c r="F1022" s="280">
        <f>H1022*Conversions!$D$67</f>
        <v>0.000570212096529276</v>
      </c>
      <c r="G1022" s="281">
        <f t="shared" si="130"/>
        <v>0.005591477855494908</v>
      </c>
      <c r="H1022" s="282">
        <f>C1022*Conversions!$B$50</f>
        <v>0.5591477855494907</v>
      </c>
      <c r="K1022">
        <f t="shared" si="133"/>
        <v>5</v>
      </c>
    </row>
    <row r="1023" spans="1:11" ht="15">
      <c r="A1023" s="562">
        <f t="shared" si="132"/>
        <v>172500</v>
      </c>
      <c r="B1023" s="277">
        <f>A1023*Conversions!B$35</f>
        <v>52578.01434328232</v>
      </c>
      <c r="C1023" s="576">
        <f t="shared" si="128"/>
        <v>0.01619703007807022</v>
      </c>
      <c r="D1023" s="278">
        <f>C1023*Conversions!$B$53</f>
        <v>0.41140456181769647</v>
      </c>
      <c r="E1023" s="279">
        <f>C1023*Conversions!$B$59</f>
        <v>0.007955265053253772</v>
      </c>
      <c r="F1023" s="280">
        <f>H1023*Conversions!$D$67</f>
        <v>0.0005593478075345077</v>
      </c>
      <c r="G1023" s="281">
        <f t="shared" si="130"/>
        <v>0.005484943056076065</v>
      </c>
      <c r="H1023" s="282">
        <f>C1023*Conversions!$B$50</f>
        <v>0.5484943056076065</v>
      </c>
      <c r="K1023">
        <f t="shared" si="131"/>
        <v>5</v>
      </c>
    </row>
    <row r="1024" spans="1:11" ht="15">
      <c r="A1024" s="562">
        <f t="shared" si="132"/>
        <v>173000</v>
      </c>
      <c r="B1024" s="277">
        <f>A1024*Conversions!B$35</f>
        <v>52730.41438485705</v>
      </c>
      <c r="C1024" s="576">
        <f t="shared" si="128"/>
        <v>0.01588842698687628</v>
      </c>
      <c r="D1024" s="278">
        <f>C1024*Conversions!$B$53</f>
        <v>0.4035660433426257</v>
      </c>
      <c r="E1024" s="279">
        <f>C1024*Conversions!$B$59</f>
        <v>0.007803692859162141</v>
      </c>
      <c r="F1024" s="280">
        <f>H1024*Conversions!$D$67</f>
        <v>0.0005486905165604411</v>
      </c>
      <c r="G1024" s="281">
        <f t="shared" si="130"/>
        <v>0.005380438071275204</v>
      </c>
      <c r="H1024" s="282">
        <f>C1024*Conversions!$B$50</f>
        <v>0.5380438071275204</v>
      </c>
      <c r="K1024">
        <f t="shared" si="131"/>
        <v>5</v>
      </c>
    </row>
    <row r="1025" spans="1:11" ht="15">
      <c r="A1025" s="562">
        <f t="shared" si="132"/>
        <v>173500</v>
      </c>
      <c r="B1025" s="277">
        <f>A1025*Conversions!B$35</f>
        <v>52882.81442643178</v>
      </c>
      <c r="C1025" s="576">
        <f t="shared" si="128"/>
        <v>0.015585703730901231</v>
      </c>
      <c r="D1025" s="278">
        <f>C1025*Conversions!$B$53</f>
        <v>0.3958768726813288</v>
      </c>
      <c r="E1025" s="279">
        <f>C1025*Conversions!$B$59</f>
        <v>0.007655008580164221</v>
      </c>
      <c r="F1025" s="280">
        <f>H1025*Conversions!$D$67</f>
        <v>0.0005382362796600226</v>
      </c>
      <c r="G1025" s="281">
        <f t="shared" si="130"/>
        <v>0.005277924226899426</v>
      </c>
      <c r="H1025" s="282">
        <f>C1025*Conversions!$B$50</f>
        <v>0.5277924226899426</v>
      </c>
      <c r="K1025">
        <f t="shared" si="131"/>
        <v>5</v>
      </c>
    </row>
    <row r="1026" spans="1:11" ht="15">
      <c r="A1026" s="562">
        <f t="shared" si="132"/>
        <v>174000</v>
      </c>
      <c r="B1026" s="277">
        <f>A1026*Conversions!B$35</f>
        <v>53035.21446800651</v>
      </c>
      <c r="C1026" s="576">
        <f t="shared" si="128"/>
        <v>0.015288748281253631</v>
      </c>
      <c r="D1026" s="278">
        <f>C1026*Conversions!$B$53</f>
        <v>0.388334204299978</v>
      </c>
      <c r="E1026" s="279">
        <f>C1026*Conversions!$B$59</f>
        <v>0.00750915719262168</v>
      </c>
      <c r="F1026" s="280">
        <f>H1026*Conversions!$D$67</f>
        <v>0.0005279812280304833</v>
      </c>
      <c r="G1026" s="281">
        <f t="shared" si="130"/>
        <v>0.005177363585617799</v>
      </c>
      <c r="H1026" s="282">
        <f>C1026*Conversions!$B$50</f>
        <v>0.5177363585617799</v>
      </c>
      <c r="K1026">
        <f t="shared" si="131"/>
        <v>5</v>
      </c>
    </row>
    <row r="1027" spans="1:11" ht="15">
      <c r="A1027" s="562">
        <f t="shared" si="132"/>
        <v>174500</v>
      </c>
      <c r="B1027" s="277">
        <f>A1027*Conversions!B$35</f>
        <v>53187.614509581246</v>
      </c>
      <c r="C1027" s="576">
        <f t="shared" si="128"/>
        <v>0.014997450743535961</v>
      </c>
      <c r="D1027" s="278">
        <f>C1027*Conversions!$B$53</f>
        <v>0.3809352468808911</v>
      </c>
      <c r="E1027" s="279">
        <f>C1027*Conversions!$B$59</f>
        <v>0.00736608472126523</v>
      </c>
      <c r="F1027" s="280">
        <f>H1027*Conversions!$D$67</f>
        <v>0.0005179215665816116</v>
      </c>
      <c r="G1027" s="281">
        <f t="shared" si="130"/>
        <v>0.00507871893292188</v>
      </c>
      <c r="H1027" s="282">
        <f>C1027*Conversions!$B$50</f>
        <v>0.507871893292188</v>
      </c>
      <c r="K1027">
        <f t="shared" si="131"/>
        <v>5</v>
      </c>
    </row>
    <row r="1028" spans="1:11" ht="15">
      <c r="A1028" s="562">
        <f t="shared" si="132"/>
        <v>175000</v>
      </c>
      <c r="B1028" s="277">
        <f>A1028*Conversions!B$35</f>
        <v>53340.014551155975</v>
      </c>
      <c r="C1028" s="576">
        <f t="shared" si="128"/>
        <v>0.014711703317175962</v>
      </c>
      <c r="D1028" s="278">
        <f>C1028*Conversions!$B$53</f>
        <v>0.373677262289547</v>
      </c>
      <c r="E1028" s="279">
        <f>C1028*Conversions!$B$59</f>
        <v>0.007225738219219977</v>
      </c>
      <c r="F1028" s="280">
        <f>H1028*Conversions!$D$67</f>
        <v>0.0005080535725313014</v>
      </c>
      <c r="G1028" s="281">
        <f t="shared" si="130"/>
        <v>0.004981953763353731</v>
      </c>
      <c r="H1028" s="282">
        <f>C1028*Conversions!$B$50</f>
        <v>0.4981953763353731</v>
      </c>
      <c r="K1028">
        <f t="shared" si="131"/>
        <v>5</v>
      </c>
    </row>
  </sheetData>
  <sheetProtection sheet="1"/>
  <mergeCells count="83">
    <mergeCell ref="A676:B676"/>
    <mergeCell ref="C676:D676"/>
    <mergeCell ref="E676:H676"/>
    <mergeCell ref="Q31:U31"/>
    <mergeCell ref="A123:B123"/>
    <mergeCell ref="D123:F123"/>
    <mergeCell ref="G123:H123"/>
    <mergeCell ref="I123:L123"/>
    <mergeCell ref="A141:B141"/>
    <mergeCell ref="C141:D141"/>
    <mergeCell ref="E141:H141"/>
    <mergeCell ref="G104:G105"/>
    <mergeCell ref="H104:H105"/>
    <mergeCell ref="I104:I105"/>
    <mergeCell ref="J104:J105"/>
    <mergeCell ref="A109:L109"/>
    <mergeCell ref="B110:C110"/>
    <mergeCell ref="D110:F110"/>
    <mergeCell ref="G110:H110"/>
    <mergeCell ref="I110:L110"/>
    <mergeCell ref="G102:G103"/>
    <mergeCell ref="H102:H103"/>
    <mergeCell ref="I102:I103"/>
    <mergeCell ref="J102:J103"/>
    <mergeCell ref="K102:K103"/>
    <mergeCell ref="L102:L103"/>
    <mergeCell ref="G100:G101"/>
    <mergeCell ref="H100:H101"/>
    <mergeCell ref="I100:I101"/>
    <mergeCell ref="J100:J101"/>
    <mergeCell ref="K100:K101"/>
    <mergeCell ref="L100:L101"/>
    <mergeCell ref="G98:G99"/>
    <mergeCell ref="H98:H99"/>
    <mergeCell ref="I98:I99"/>
    <mergeCell ref="J98:J99"/>
    <mergeCell ref="K98:K99"/>
    <mergeCell ref="L98:L99"/>
    <mergeCell ref="G96:G97"/>
    <mergeCell ref="H96:H97"/>
    <mergeCell ref="I96:I97"/>
    <mergeCell ref="J96:J97"/>
    <mergeCell ref="K96:K97"/>
    <mergeCell ref="L96:L97"/>
    <mergeCell ref="L92:L93"/>
    <mergeCell ref="G94:G95"/>
    <mergeCell ref="H94:H95"/>
    <mergeCell ref="J94:J95"/>
    <mergeCell ref="K94:K95"/>
    <mergeCell ref="L94:L95"/>
    <mergeCell ref="G90:G91"/>
    <mergeCell ref="H90:H91"/>
    <mergeCell ref="I90:I91"/>
    <mergeCell ref="J90:J91"/>
    <mergeCell ref="K90:K91"/>
    <mergeCell ref="G92:G93"/>
    <mergeCell ref="H92:H93"/>
    <mergeCell ref="I92:I93"/>
    <mergeCell ref="J92:J93"/>
    <mergeCell ref="K92:K93"/>
    <mergeCell ref="L86:L87"/>
    <mergeCell ref="G88:G89"/>
    <mergeCell ref="H88:H89"/>
    <mergeCell ref="I88:I89"/>
    <mergeCell ref="J88:J89"/>
    <mergeCell ref="K88:K89"/>
    <mergeCell ref="L88:L89"/>
    <mergeCell ref="J45:O45"/>
    <mergeCell ref="J46:O46"/>
    <mergeCell ref="J66:O66"/>
    <mergeCell ref="J67:O67"/>
    <mergeCell ref="H84:I84"/>
    <mergeCell ref="G86:G87"/>
    <mergeCell ref="H86:H87"/>
    <mergeCell ref="I86:I87"/>
    <mergeCell ref="J86:J87"/>
    <mergeCell ref="K86:K87"/>
    <mergeCell ref="A1:G1"/>
    <mergeCell ref="K14:K17"/>
    <mergeCell ref="K28:K31"/>
    <mergeCell ref="A42:B42"/>
    <mergeCell ref="C42:D42"/>
    <mergeCell ref="E42:H42"/>
  </mergeCells>
  <hyperlinks>
    <hyperlink ref="O2" location="'WORK Atmospheric Pressure'!Q51" display="SAS Program begins S51"/>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A1" sqref="A1:K1"/>
    </sheetView>
  </sheetViews>
  <sheetFormatPr defaultColWidth="9.140625" defaultRowHeight="15"/>
  <cols>
    <col min="1" max="1" width="8.8515625" style="0" customWidth="1"/>
    <col min="2" max="2" width="12.28125" style="0" customWidth="1"/>
    <col min="3" max="4" width="5.8515625" style="0" bestFit="1" customWidth="1"/>
    <col min="5" max="6" width="9.140625" style="0" customWidth="1"/>
    <col min="7" max="8" width="6.00390625" style="0" customWidth="1"/>
    <col min="9" max="9" width="11.28125" style="0" bestFit="1" customWidth="1"/>
    <col min="10" max="10" width="18.421875" style="0" bestFit="1" customWidth="1"/>
    <col min="11" max="11" width="5.7109375" style="0" customWidth="1"/>
  </cols>
  <sheetData>
    <row r="1" spans="1:11" s="2" customFormat="1" ht="18.75">
      <c r="A1" s="1045" t="s">
        <v>0</v>
      </c>
      <c r="B1" s="1045"/>
      <c r="C1" s="1045"/>
      <c r="D1" s="1045"/>
      <c r="E1" s="1045"/>
      <c r="F1" s="1045"/>
      <c r="G1" s="1045"/>
      <c r="H1" s="1045"/>
      <c r="I1" s="1045"/>
      <c r="J1" s="1045"/>
      <c r="K1" s="1045"/>
    </row>
    <row r="2" spans="1:11" ht="15">
      <c r="A2" s="1048" t="s">
        <v>1</v>
      </c>
      <c r="B2" s="1049"/>
      <c r="C2" s="1049"/>
      <c r="D2" s="1049"/>
      <c r="E2" s="1049"/>
      <c r="F2" s="1049"/>
      <c r="G2" s="1071"/>
      <c r="H2" s="1071"/>
      <c r="I2" s="1071"/>
      <c r="J2" s="1071"/>
      <c r="K2" s="1071"/>
    </row>
    <row r="3" spans="1:11" ht="15">
      <c r="A3" s="1073" t="s">
        <v>64</v>
      </c>
      <c r="B3" s="1073"/>
      <c r="C3" s="1073"/>
      <c r="D3" s="1073"/>
      <c r="E3" s="1073"/>
      <c r="F3" s="1073"/>
      <c r="G3" s="1073"/>
      <c r="H3" s="1073"/>
      <c r="I3" s="1073"/>
      <c r="J3" s="1073"/>
      <c r="K3" s="1073"/>
    </row>
    <row r="5" spans="1:14" ht="25.5" customHeight="1">
      <c r="A5" s="1074" t="s">
        <v>65</v>
      </c>
      <c r="B5" s="1074"/>
      <c r="C5" s="1075" t="s">
        <v>66</v>
      </c>
      <c r="D5" s="1076"/>
      <c r="E5" s="1075" t="s">
        <v>67</v>
      </c>
      <c r="F5" s="1076"/>
      <c r="G5" s="1074" t="s">
        <v>68</v>
      </c>
      <c r="H5" s="1074"/>
      <c r="I5" s="1037" t="s">
        <v>12</v>
      </c>
      <c r="J5" s="1054" t="s">
        <v>13</v>
      </c>
      <c r="K5" s="1037" t="s">
        <v>69</v>
      </c>
      <c r="N5" s="65"/>
    </row>
    <row r="6" spans="1:11" ht="15">
      <c r="A6" s="85" t="s">
        <v>70</v>
      </c>
      <c r="B6" s="67" t="s">
        <v>71</v>
      </c>
      <c r="C6" s="80" t="s">
        <v>72</v>
      </c>
      <c r="D6" s="80" t="s">
        <v>361</v>
      </c>
      <c r="E6" s="80" t="s">
        <v>362</v>
      </c>
      <c r="F6" s="928" t="s">
        <v>363</v>
      </c>
      <c r="G6" s="85" t="s">
        <v>73</v>
      </c>
      <c r="H6" s="77" t="s">
        <v>74</v>
      </c>
      <c r="I6" s="1037"/>
      <c r="J6" s="1054"/>
      <c r="K6" s="1037"/>
    </row>
    <row r="7" spans="1:11" ht="14.25" customHeight="1">
      <c r="A7" s="1079" t="s">
        <v>75</v>
      </c>
      <c r="B7" s="1079"/>
      <c r="C7" s="86">
        <v>15</v>
      </c>
      <c r="D7" s="86">
        <f>((C7/5)*9)+32</f>
        <v>59</v>
      </c>
      <c r="E7" s="87">
        <v>1013.25</v>
      </c>
      <c r="F7" s="929">
        <f>E7/Conversions!B$50</f>
        <v>29.921259999999997</v>
      </c>
      <c r="G7" s="88">
        <v>1.98</v>
      </c>
      <c r="H7" s="89">
        <f>(G7*9/5)</f>
        <v>3.564</v>
      </c>
      <c r="I7" s="822" t="s">
        <v>76</v>
      </c>
      <c r="J7" s="909" t="str">
        <f>CONCATENATE("0 (MSL) to ",B8)</f>
        <v>0 (MSL) to 36,000 ft</v>
      </c>
      <c r="K7" s="90"/>
    </row>
    <row r="8" spans="1:11" ht="14.25" customHeight="1">
      <c r="A8" s="91" t="s">
        <v>77</v>
      </c>
      <c r="B8" s="92" t="s">
        <v>78</v>
      </c>
      <c r="C8" s="926">
        <v>-56.5</v>
      </c>
      <c r="D8" s="926">
        <f>((C8/5)*9)+32</f>
        <v>-69.7</v>
      </c>
      <c r="E8" s="93">
        <v>226</v>
      </c>
      <c r="F8" s="930">
        <f>E8/Conversions!B$50</f>
        <v>6.673777211941771</v>
      </c>
      <c r="G8" s="94">
        <v>0</v>
      </c>
      <c r="H8" s="95">
        <f>(G8*9/5)</f>
        <v>0</v>
      </c>
      <c r="I8" s="823" t="s">
        <v>79</v>
      </c>
      <c r="J8" s="910" t="str">
        <f>CONCATENATE(B8," to ",B9)</f>
        <v>36,000 ft to 65,000 ft</v>
      </c>
      <c r="K8" s="81">
        <v>1</v>
      </c>
    </row>
    <row r="9" spans="1:11" ht="14.25" customHeight="1">
      <c r="A9" s="91" t="s">
        <v>80</v>
      </c>
      <c r="B9" s="92" t="s">
        <v>81</v>
      </c>
      <c r="C9" s="926">
        <v>-56.5</v>
      </c>
      <c r="D9" s="926">
        <f>((C9/5)*9)+32</f>
        <v>-69.7</v>
      </c>
      <c r="E9" s="93">
        <v>54.7</v>
      </c>
      <c r="F9" s="930">
        <f>E9/Conversions!B$50</f>
        <v>1.6152903251912163</v>
      </c>
      <c r="G9" s="96">
        <v>-1</v>
      </c>
      <c r="H9" s="97">
        <f>(G9*(9/5))</f>
        <v>-1.8</v>
      </c>
      <c r="I9" s="824" t="s">
        <v>79</v>
      </c>
      <c r="J9" s="911" t="str">
        <f>CONCATENATE(B9," to ",B10)</f>
        <v>65,000 ft to 105,000 ft</v>
      </c>
      <c r="K9" s="98"/>
    </row>
    <row r="10" spans="1:12" ht="15">
      <c r="A10" s="99" t="s">
        <v>82</v>
      </c>
      <c r="B10" s="100" t="s">
        <v>83</v>
      </c>
      <c r="C10" s="927">
        <v>-44.5</v>
      </c>
      <c r="D10" s="927">
        <f>((C10/5)*9)+32</f>
        <v>-48.10000000000001</v>
      </c>
      <c r="E10" s="101">
        <v>8.68</v>
      </c>
      <c r="F10" s="931">
        <f>E10/Conversions!B$50</f>
        <v>0.2563202929188255</v>
      </c>
      <c r="G10" s="1077"/>
      <c r="H10" s="1078"/>
      <c r="I10" s="44"/>
      <c r="J10" s="44"/>
      <c r="K10" s="44"/>
      <c r="L10" s="65"/>
    </row>
    <row r="11" spans="1:11" ht="14.25" customHeight="1">
      <c r="A11" s="564" t="s">
        <v>84</v>
      </c>
      <c r="B11" s="1072" t="s">
        <v>85</v>
      </c>
      <c r="C11" s="1072"/>
      <c r="D11" s="1072"/>
      <c r="E11" s="1072"/>
      <c r="F11" s="1072"/>
      <c r="G11" s="1072"/>
      <c r="H11" s="1072"/>
      <c r="I11" s="1072"/>
      <c r="J11" s="1072"/>
      <c r="K11" s="1072"/>
    </row>
    <row r="20" ht="15">
      <c r="M20" s="121"/>
    </row>
    <row r="24" spans="13:14" ht="15">
      <c r="M24" s="121"/>
      <c r="N24" s="121"/>
    </row>
    <row r="25" ht="15">
      <c r="F25" s="121"/>
    </row>
  </sheetData>
  <sheetProtection/>
  <mergeCells count="14">
    <mergeCell ref="G10:H10"/>
    <mergeCell ref="J5:J6"/>
    <mergeCell ref="K5:K6"/>
    <mergeCell ref="A7:B7"/>
    <mergeCell ref="A2:F2"/>
    <mergeCell ref="G2:K2"/>
    <mergeCell ref="B11:K11"/>
    <mergeCell ref="A1:K1"/>
    <mergeCell ref="A3:K3"/>
    <mergeCell ref="A5:B5"/>
    <mergeCell ref="G5:H5"/>
    <mergeCell ref="C5:D5"/>
    <mergeCell ref="E5:F5"/>
    <mergeCell ref="I5:I6"/>
  </mergeCells>
  <printOptions/>
  <pageMargins left="0.7" right="0.7" top="0.75" bottom="0.75"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F152"/>
  <sheetViews>
    <sheetView showGridLines="0" zoomScalePageLayoutView="0" workbookViewId="0" topLeftCell="A1">
      <selection activeCell="A1" sqref="A1:D1"/>
    </sheetView>
  </sheetViews>
  <sheetFormatPr defaultColWidth="9.140625" defaultRowHeight="15"/>
  <cols>
    <col min="2" max="2" width="24.7109375" style="0" customWidth="1"/>
    <col min="3" max="4" width="27.7109375" style="0" customWidth="1"/>
    <col min="5" max="6" width="9.140625" style="0" customWidth="1"/>
  </cols>
  <sheetData>
    <row r="1" spans="1:4" ht="18.75">
      <c r="A1" s="1045" t="s">
        <v>86</v>
      </c>
      <c r="B1" s="1045"/>
      <c r="C1" s="1045"/>
      <c r="D1" s="1045"/>
    </row>
    <row r="2" spans="1:4" ht="15">
      <c r="A2" s="65"/>
      <c r="B2" s="65"/>
      <c r="C2" s="65"/>
      <c r="D2" s="65"/>
    </row>
    <row r="3" spans="1:4" ht="14.25" customHeight="1">
      <c r="A3" s="65"/>
      <c r="B3" s="1080" t="s">
        <v>87</v>
      </c>
      <c r="C3" s="1080"/>
      <c r="D3" s="1080"/>
    </row>
    <row r="4" spans="1:4" ht="14.25" customHeight="1">
      <c r="A4" s="65"/>
      <c r="B4" s="1087" t="s">
        <v>88</v>
      </c>
      <c r="C4" s="1081" t="s">
        <v>89</v>
      </c>
      <c r="D4" s="1082"/>
    </row>
    <row r="5" spans="1:4" ht="14.25" customHeight="1">
      <c r="A5" s="65"/>
      <c r="B5" s="1088"/>
      <c r="C5" s="1085" t="s">
        <v>90</v>
      </c>
      <c r="D5" s="992" t="s">
        <v>404</v>
      </c>
    </row>
    <row r="6" spans="1:4" ht="14.25" customHeight="1">
      <c r="A6" s="65"/>
      <c r="B6" s="1089"/>
      <c r="C6" s="1086"/>
      <c r="D6" s="992" t="s">
        <v>403</v>
      </c>
    </row>
    <row r="7" spans="1:6" ht="14.25" customHeight="1">
      <c r="A7" s="65"/>
      <c r="B7" s="102" t="s">
        <v>91</v>
      </c>
      <c r="C7" s="993">
        <f>D7/1000000</f>
        <v>0.78084</v>
      </c>
      <c r="D7" s="103">
        <v>780840</v>
      </c>
      <c r="E7" s="104"/>
      <c r="F7" s="105"/>
    </row>
    <row r="8" spans="1:6" ht="14.25" customHeight="1">
      <c r="A8" s="65"/>
      <c r="B8" s="106" t="s">
        <v>92</v>
      </c>
      <c r="C8" s="107">
        <f aca="true" t="shared" si="0" ref="C8:C20">D8/1000000</f>
        <v>0.20946</v>
      </c>
      <c r="D8" s="108">
        <v>209460</v>
      </c>
      <c r="E8" s="105"/>
      <c r="F8" s="105"/>
    </row>
    <row r="9" spans="1:6" ht="14.25" customHeight="1">
      <c r="A9" s="65"/>
      <c r="B9" s="109" t="s">
        <v>93</v>
      </c>
      <c r="C9" s="110">
        <f t="shared" si="0"/>
        <v>0.00934</v>
      </c>
      <c r="D9" s="111">
        <v>9340</v>
      </c>
      <c r="E9" s="105"/>
      <c r="F9" s="105"/>
    </row>
    <row r="10" spans="1:6" ht="14.25" customHeight="1">
      <c r="A10" s="65"/>
      <c r="B10" s="109" t="s">
        <v>94</v>
      </c>
      <c r="C10" s="110">
        <f t="shared" si="0"/>
        <v>0.000387</v>
      </c>
      <c r="D10" s="111">
        <v>387</v>
      </c>
      <c r="E10" s="105"/>
      <c r="F10" s="105"/>
    </row>
    <row r="11" spans="1:6" ht="14.25" customHeight="1">
      <c r="A11" s="65"/>
      <c r="B11" s="109" t="s">
        <v>95</v>
      </c>
      <c r="C11" s="110">
        <f t="shared" si="0"/>
        <v>1.818E-05</v>
      </c>
      <c r="D11" s="111">
        <v>18.18</v>
      </c>
      <c r="E11" s="105"/>
      <c r="F11" s="105"/>
    </row>
    <row r="12" spans="1:6" ht="14.25" customHeight="1">
      <c r="A12" s="65"/>
      <c r="B12" s="109" t="s">
        <v>96</v>
      </c>
      <c r="C12" s="110">
        <f t="shared" si="0"/>
        <v>5.24E-06</v>
      </c>
      <c r="D12" s="111">
        <v>5.24</v>
      </c>
      <c r="E12" s="105"/>
      <c r="F12" s="105"/>
    </row>
    <row r="13" spans="1:6" ht="14.25" customHeight="1">
      <c r="A13" s="65"/>
      <c r="B13" s="109" t="s">
        <v>97</v>
      </c>
      <c r="C13" s="110">
        <f t="shared" si="0"/>
        <v>1.79E-06</v>
      </c>
      <c r="D13" s="111">
        <v>1.79</v>
      </c>
      <c r="E13" s="105"/>
      <c r="F13" s="105"/>
    </row>
    <row r="14" spans="1:6" ht="14.25" customHeight="1">
      <c r="A14" s="65"/>
      <c r="B14" s="109" t="s">
        <v>98</v>
      </c>
      <c r="C14" s="110">
        <f t="shared" si="0"/>
        <v>1.1399999999999999E-06</v>
      </c>
      <c r="D14" s="111">
        <v>1.14</v>
      </c>
      <c r="E14" s="105"/>
      <c r="F14" s="105"/>
    </row>
    <row r="15" spans="1:6" ht="14.25" customHeight="1">
      <c r="A15" s="65"/>
      <c r="B15" s="109" t="s">
        <v>99</v>
      </c>
      <c r="C15" s="110">
        <f t="shared" si="0"/>
        <v>5.5E-07</v>
      </c>
      <c r="D15" s="111">
        <v>0.55</v>
      </c>
      <c r="E15" s="105"/>
      <c r="F15" s="105"/>
    </row>
    <row r="16" spans="1:6" ht="14.25" customHeight="1">
      <c r="A16" s="65"/>
      <c r="B16" s="109" t="s">
        <v>100</v>
      </c>
      <c r="C16" s="110">
        <f t="shared" si="0"/>
        <v>3E-07</v>
      </c>
      <c r="D16" s="111">
        <v>0.3</v>
      </c>
      <c r="E16" s="105"/>
      <c r="F16" s="105"/>
    </row>
    <row r="17" spans="1:6" ht="14.25" customHeight="1">
      <c r="A17" s="65"/>
      <c r="B17" s="109" t="s">
        <v>101</v>
      </c>
      <c r="C17" s="110">
        <f t="shared" si="0"/>
        <v>1.0000000000000001E-07</v>
      </c>
      <c r="D17" s="111">
        <v>0.1</v>
      </c>
      <c r="E17" s="105"/>
      <c r="F17" s="105"/>
    </row>
    <row r="18" spans="1:6" ht="14.25" customHeight="1">
      <c r="A18" s="65"/>
      <c r="B18" s="109" t="s">
        <v>102</v>
      </c>
      <c r="C18" s="110">
        <f t="shared" si="0"/>
        <v>9E-08</v>
      </c>
      <c r="D18" s="111">
        <v>0.09</v>
      </c>
      <c r="E18" s="105"/>
      <c r="F18" s="105"/>
    </row>
    <row r="19" spans="1:6" ht="14.25" customHeight="1">
      <c r="A19" s="65"/>
      <c r="B19" s="109" t="s">
        <v>103</v>
      </c>
      <c r="C19" s="110">
        <f t="shared" si="0"/>
        <v>2E-08</v>
      </c>
      <c r="D19" s="111">
        <v>0.02</v>
      </c>
      <c r="E19" s="105"/>
      <c r="F19" s="105"/>
    </row>
    <row r="20" spans="2:6" ht="14.25" customHeight="1">
      <c r="B20" s="109" t="s">
        <v>104</v>
      </c>
      <c r="C20" s="110">
        <f t="shared" si="0"/>
        <v>1E-08</v>
      </c>
      <c r="D20" s="111">
        <v>0.01</v>
      </c>
      <c r="E20" s="105"/>
      <c r="F20" s="105"/>
    </row>
    <row r="21" spans="2:5" ht="14.25" customHeight="1">
      <c r="B21" s="112" t="s">
        <v>105</v>
      </c>
      <c r="C21" s="113" t="s">
        <v>106</v>
      </c>
      <c r="D21" s="114"/>
      <c r="E21" s="115"/>
    </row>
    <row r="22" spans="2:5" ht="14.25" customHeight="1">
      <c r="B22" s="116" t="s">
        <v>107</v>
      </c>
      <c r="C22" s="117" t="s">
        <v>108</v>
      </c>
      <c r="D22" s="118" t="s">
        <v>109</v>
      </c>
      <c r="E22" s="115"/>
    </row>
    <row r="23" spans="2:4" ht="14.25" customHeight="1">
      <c r="B23" s="1083" t="s">
        <v>110</v>
      </c>
      <c r="C23" s="1083"/>
      <c r="D23" s="1083"/>
    </row>
    <row r="24" spans="2:4" ht="14.25" customHeight="1">
      <c r="B24" s="119" t="s">
        <v>111</v>
      </c>
      <c r="C24" s="1084" t="s">
        <v>112</v>
      </c>
      <c r="D24" s="1084"/>
    </row>
    <row r="25" spans="2:3" ht="14.25" customHeight="1">
      <c r="B25" s="65"/>
      <c r="C25" s="65"/>
    </row>
    <row r="26" spans="2:3" ht="14.25" customHeight="1">
      <c r="B26" s="65"/>
      <c r="C26" s="65"/>
    </row>
    <row r="27" spans="2:3" ht="15">
      <c r="B27" s="65"/>
      <c r="C27" s="65"/>
    </row>
    <row r="28" spans="2:3" ht="15">
      <c r="B28" s="65"/>
      <c r="C28" s="65"/>
    </row>
    <row r="29" spans="2:5" ht="15">
      <c r="B29" s="65"/>
      <c r="C29" s="65"/>
      <c r="E29" s="120"/>
    </row>
    <row r="30" spans="2:5" ht="15">
      <c r="B30" s="65"/>
      <c r="C30" s="65"/>
      <c r="E30" s="121"/>
    </row>
    <row r="31" spans="2:5" ht="15">
      <c r="B31" s="65"/>
      <c r="C31" s="65"/>
      <c r="E31" s="121"/>
    </row>
    <row r="32" spans="2:5" ht="15">
      <c r="B32" s="65"/>
      <c r="C32" s="65"/>
      <c r="E32" s="121"/>
    </row>
    <row r="33" spans="2:5" ht="15">
      <c r="B33" s="65"/>
      <c r="C33" s="65"/>
      <c r="E33" s="121"/>
    </row>
    <row r="34" spans="2:5" ht="15">
      <c r="B34" s="65"/>
      <c r="C34" s="65"/>
      <c r="E34" s="121"/>
    </row>
    <row r="35" spans="2:5" ht="15">
      <c r="B35" s="65"/>
      <c r="C35" s="65"/>
      <c r="E35" s="121"/>
    </row>
    <row r="36" spans="2:5" ht="15">
      <c r="B36" s="65"/>
      <c r="C36" s="65"/>
      <c r="E36" s="121"/>
    </row>
    <row r="37" spans="2:5" ht="15">
      <c r="B37" s="65"/>
      <c r="C37" s="65"/>
      <c r="E37" s="121"/>
    </row>
    <row r="38" spans="2:5" ht="15">
      <c r="B38" s="65"/>
      <c r="C38" s="65"/>
      <c r="E38" s="121"/>
    </row>
    <row r="39" spans="2:3" ht="15">
      <c r="B39" s="65"/>
      <c r="C39" s="65"/>
    </row>
    <row r="40" spans="2:3" ht="15">
      <c r="B40" s="65"/>
      <c r="C40" s="65"/>
    </row>
    <row r="41" spans="2:3" ht="15">
      <c r="B41" s="65"/>
      <c r="C41" s="65"/>
    </row>
    <row r="42" spans="2:3" ht="15">
      <c r="B42" s="65"/>
      <c r="C42" s="65"/>
    </row>
    <row r="43" spans="2:3" ht="15">
      <c r="B43" s="65"/>
      <c r="C43" s="65"/>
    </row>
    <row r="44" spans="2:3" ht="15">
      <c r="B44" s="65"/>
      <c r="C44" s="65"/>
    </row>
    <row r="45" spans="2:3" ht="15">
      <c r="B45" s="65"/>
      <c r="C45" s="65"/>
    </row>
    <row r="46" spans="2:3" ht="15">
      <c r="B46" s="65"/>
      <c r="C46" s="65"/>
    </row>
    <row r="47" spans="2:3" ht="15">
      <c r="B47" s="65"/>
      <c r="C47" s="65"/>
    </row>
    <row r="48" spans="2:3" ht="15">
      <c r="B48" s="65"/>
      <c r="C48" s="65"/>
    </row>
    <row r="49" spans="2:3" ht="15">
      <c r="B49" s="65"/>
      <c r="C49" s="65"/>
    </row>
    <row r="50" spans="2:3" ht="15">
      <c r="B50" s="65"/>
      <c r="C50" s="65"/>
    </row>
    <row r="51" spans="2:3" ht="15">
      <c r="B51" s="65"/>
      <c r="C51" s="65"/>
    </row>
    <row r="52" spans="2:3" ht="15">
      <c r="B52" s="65"/>
      <c r="C52" s="65"/>
    </row>
    <row r="53" spans="2:3" ht="15">
      <c r="B53" s="65"/>
      <c r="C53" s="65"/>
    </row>
    <row r="54" spans="2:3" ht="15">
      <c r="B54" s="65"/>
      <c r="C54" s="65"/>
    </row>
    <row r="55" spans="2:3" ht="15">
      <c r="B55" s="65"/>
      <c r="C55" s="65"/>
    </row>
    <row r="56" spans="2:3" ht="15">
      <c r="B56" s="65"/>
      <c r="C56" s="65"/>
    </row>
    <row r="57" spans="2:3" ht="15">
      <c r="B57" s="65"/>
      <c r="C57" s="65"/>
    </row>
    <row r="58" spans="2:3" ht="15">
      <c r="B58" s="65"/>
      <c r="C58" s="65"/>
    </row>
    <row r="59" spans="2:3" ht="15">
      <c r="B59" s="65"/>
      <c r="C59" s="65"/>
    </row>
    <row r="60" spans="2:3" ht="15">
      <c r="B60" s="65"/>
      <c r="C60" s="65"/>
    </row>
    <row r="61" spans="2:3" ht="15">
      <c r="B61" s="65"/>
      <c r="C61" s="65"/>
    </row>
    <row r="62" spans="2:3" ht="15">
      <c r="B62" s="65"/>
      <c r="C62" s="65"/>
    </row>
    <row r="63" spans="2:3" ht="15">
      <c r="B63" s="65"/>
      <c r="C63" s="65"/>
    </row>
    <row r="64" spans="2:3" ht="15">
      <c r="B64" s="65"/>
      <c r="C64" s="65"/>
    </row>
    <row r="65" spans="2:3" ht="15">
      <c r="B65" s="65"/>
      <c r="C65" s="65"/>
    </row>
    <row r="66" spans="2:3" ht="15">
      <c r="B66" s="65"/>
      <c r="C66" s="65"/>
    </row>
    <row r="67" spans="2:3" ht="15">
      <c r="B67" s="65"/>
      <c r="C67" s="65"/>
    </row>
    <row r="68" spans="2:3" ht="15">
      <c r="B68" s="65"/>
      <c r="C68" s="65"/>
    </row>
    <row r="69" spans="2:3" ht="15">
      <c r="B69" s="65"/>
      <c r="C69" s="65"/>
    </row>
    <row r="70" spans="2:3" ht="15">
      <c r="B70" s="65"/>
      <c r="C70" s="65"/>
    </row>
    <row r="71" spans="2:3" ht="15">
      <c r="B71" s="65"/>
      <c r="C71" s="65"/>
    </row>
    <row r="72" spans="2:3" ht="15">
      <c r="B72" s="65"/>
      <c r="C72" s="65"/>
    </row>
    <row r="73" spans="2:3" ht="15">
      <c r="B73" s="65"/>
      <c r="C73" s="65"/>
    </row>
    <row r="74" spans="2:3" ht="15">
      <c r="B74" s="65"/>
      <c r="C74" s="65"/>
    </row>
    <row r="75" spans="2:3" ht="15">
      <c r="B75" s="65"/>
      <c r="C75" s="65"/>
    </row>
    <row r="76" spans="2:3" ht="15">
      <c r="B76" s="65"/>
      <c r="C76" s="65"/>
    </row>
    <row r="77" spans="2:3" ht="15">
      <c r="B77" s="65"/>
      <c r="C77" s="65"/>
    </row>
    <row r="78" spans="2:3" ht="15">
      <c r="B78" s="65"/>
      <c r="C78" s="65"/>
    </row>
    <row r="79" spans="2:3" ht="15">
      <c r="B79" s="65"/>
      <c r="C79" s="65"/>
    </row>
    <row r="80" spans="2:3" ht="15">
      <c r="B80" s="65"/>
      <c r="C80" s="65"/>
    </row>
    <row r="81" spans="2:3" ht="15">
      <c r="B81" s="65"/>
      <c r="C81" s="65"/>
    </row>
    <row r="82" spans="2:3" ht="15">
      <c r="B82" s="65"/>
      <c r="C82" s="65"/>
    </row>
    <row r="83" spans="2:3" ht="15">
      <c r="B83" s="65"/>
      <c r="C83" s="65"/>
    </row>
    <row r="84" spans="2:3" ht="15">
      <c r="B84" s="65"/>
      <c r="C84" s="65"/>
    </row>
    <row r="85" spans="2:3" ht="15">
      <c r="B85" s="65"/>
      <c r="C85" s="65"/>
    </row>
    <row r="86" spans="2:3" ht="15">
      <c r="B86" s="65"/>
      <c r="C86" s="65"/>
    </row>
    <row r="87" spans="2:3" ht="15">
      <c r="B87" s="65"/>
      <c r="C87" s="65"/>
    </row>
    <row r="88" spans="2:3" ht="15">
      <c r="B88" s="65"/>
      <c r="C88" s="65"/>
    </row>
    <row r="89" spans="2:3" ht="15">
      <c r="B89" s="65"/>
      <c r="C89" s="65"/>
    </row>
    <row r="90" spans="2:3" ht="15">
      <c r="B90" s="65"/>
      <c r="C90" s="65"/>
    </row>
    <row r="91" spans="2:3" ht="15">
      <c r="B91" s="65"/>
      <c r="C91" s="65"/>
    </row>
    <row r="92" spans="2:3" ht="15">
      <c r="B92" s="65"/>
      <c r="C92" s="65"/>
    </row>
    <row r="93" spans="2:3" ht="15">
      <c r="B93" s="65"/>
      <c r="C93" s="65"/>
    </row>
    <row r="94" spans="2:3" ht="15">
      <c r="B94" s="65"/>
      <c r="C94" s="65"/>
    </row>
    <row r="95" spans="2:3" ht="15">
      <c r="B95" s="65"/>
      <c r="C95" s="65"/>
    </row>
    <row r="96" spans="2:3" ht="15">
      <c r="B96" s="65"/>
      <c r="C96" s="65"/>
    </row>
    <row r="97" spans="2:3" ht="15">
      <c r="B97" s="65"/>
      <c r="C97" s="65"/>
    </row>
    <row r="98" spans="2:3" ht="15">
      <c r="B98" s="65"/>
      <c r="C98" s="65"/>
    </row>
    <row r="99" spans="2:3" ht="15">
      <c r="B99" s="65"/>
      <c r="C99" s="65"/>
    </row>
    <row r="100" spans="2:3" ht="15">
      <c r="B100" s="65"/>
      <c r="C100" s="65"/>
    </row>
    <row r="101" spans="2:3" ht="15">
      <c r="B101" s="65"/>
      <c r="C101" s="65"/>
    </row>
    <row r="102" spans="2:3" ht="15">
      <c r="B102" s="65"/>
      <c r="C102" s="65"/>
    </row>
    <row r="103" spans="2:3" ht="15">
      <c r="B103" s="65"/>
      <c r="C103" s="65"/>
    </row>
    <row r="104" spans="2:3" ht="15">
      <c r="B104" s="65"/>
      <c r="C104" s="65"/>
    </row>
    <row r="105" spans="2:3" ht="15">
      <c r="B105" s="65"/>
      <c r="C105" s="65"/>
    </row>
    <row r="106" spans="2:3" ht="15">
      <c r="B106" s="65"/>
      <c r="C106" s="65"/>
    </row>
    <row r="107" spans="2:3" ht="15">
      <c r="B107" s="65"/>
      <c r="C107" s="65"/>
    </row>
    <row r="108" spans="2:3" ht="15">
      <c r="B108" s="65"/>
      <c r="C108" s="65"/>
    </row>
    <row r="109" spans="2:3" ht="15">
      <c r="B109" s="65"/>
      <c r="C109" s="65"/>
    </row>
    <row r="110" spans="2:3" ht="15">
      <c r="B110" s="65"/>
      <c r="C110" s="65"/>
    </row>
    <row r="111" spans="2:3" ht="15">
      <c r="B111" s="65"/>
      <c r="C111" s="65"/>
    </row>
    <row r="112" spans="2:3" ht="15">
      <c r="B112" s="65"/>
      <c r="C112" s="65"/>
    </row>
    <row r="113" spans="2:3" ht="15">
      <c r="B113" s="65"/>
      <c r="C113" s="65"/>
    </row>
    <row r="114" spans="2:3" ht="15">
      <c r="B114" s="65"/>
      <c r="C114" s="65"/>
    </row>
    <row r="115" spans="2:3" ht="15">
      <c r="B115" s="65"/>
      <c r="C115" s="65"/>
    </row>
    <row r="116" spans="2:3" ht="15">
      <c r="B116" s="65"/>
      <c r="C116" s="65"/>
    </row>
    <row r="117" spans="2:3" ht="15">
      <c r="B117" s="65"/>
      <c r="C117" s="65"/>
    </row>
    <row r="118" spans="2:3" ht="15">
      <c r="B118" s="65"/>
      <c r="C118" s="65"/>
    </row>
    <row r="119" spans="2:3" ht="15">
      <c r="B119" s="65"/>
      <c r="C119" s="65"/>
    </row>
    <row r="120" spans="2:3" ht="15">
      <c r="B120" s="65"/>
      <c r="C120" s="65"/>
    </row>
    <row r="121" spans="2:3" ht="15">
      <c r="B121" s="65"/>
      <c r="C121" s="65"/>
    </row>
    <row r="122" spans="2:3" ht="15">
      <c r="B122" s="65"/>
      <c r="C122" s="65"/>
    </row>
    <row r="123" spans="2:3" ht="15">
      <c r="B123" s="65"/>
      <c r="C123" s="65"/>
    </row>
    <row r="124" spans="2:3" ht="15">
      <c r="B124" s="65"/>
      <c r="C124" s="65"/>
    </row>
    <row r="125" spans="2:3" ht="15">
      <c r="B125" s="65"/>
      <c r="C125" s="65"/>
    </row>
    <row r="126" spans="2:3" ht="15">
      <c r="B126" s="65"/>
      <c r="C126" s="65"/>
    </row>
    <row r="127" spans="2:3" ht="15">
      <c r="B127" s="65"/>
      <c r="C127" s="65"/>
    </row>
    <row r="128" spans="2:3" ht="15">
      <c r="B128" s="65"/>
      <c r="C128" s="65"/>
    </row>
    <row r="129" spans="2:3" ht="15">
      <c r="B129" s="65"/>
      <c r="C129" s="65"/>
    </row>
    <row r="130" spans="2:3" ht="15">
      <c r="B130" s="65"/>
      <c r="C130" s="65"/>
    </row>
    <row r="131" spans="2:3" ht="15">
      <c r="B131" s="65"/>
      <c r="C131" s="65"/>
    </row>
    <row r="132" spans="2:3" ht="15">
      <c r="B132" s="65"/>
      <c r="C132" s="65"/>
    </row>
    <row r="133" spans="2:3" ht="15">
      <c r="B133" s="65"/>
      <c r="C133" s="65"/>
    </row>
    <row r="134" spans="2:3" ht="15">
      <c r="B134" s="65"/>
      <c r="C134" s="65"/>
    </row>
    <row r="135" spans="2:3" ht="15">
      <c r="B135" s="65"/>
      <c r="C135" s="65"/>
    </row>
    <row r="136" spans="2:3" ht="15">
      <c r="B136" s="65"/>
      <c r="C136" s="65"/>
    </row>
    <row r="137" spans="2:3" ht="15">
      <c r="B137" s="65"/>
      <c r="C137" s="65"/>
    </row>
    <row r="138" spans="2:3" ht="15">
      <c r="B138" s="65"/>
      <c r="C138" s="65"/>
    </row>
    <row r="139" spans="2:3" ht="15">
      <c r="B139" s="65"/>
      <c r="C139" s="65"/>
    </row>
    <row r="140" spans="2:3" ht="15">
      <c r="B140" s="65"/>
      <c r="C140" s="65"/>
    </row>
    <row r="141" spans="2:3" ht="15">
      <c r="B141" s="65"/>
      <c r="C141" s="65"/>
    </row>
    <row r="142" spans="2:3" ht="15">
      <c r="B142" s="65"/>
      <c r="C142" s="65"/>
    </row>
    <row r="143" spans="2:3" ht="15">
      <c r="B143" s="65"/>
      <c r="C143" s="65"/>
    </row>
    <row r="144" spans="2:3" ht="15">
      <c r="B144" s="65"/>
      <c r="C144" s="65"/>
    </row>
    <row r="145" spans="2:3" ht="15">
      <c r="B145" s="65"/>
      <c r="C145" s="65"/>
    </row>
    <row r="146" spans="2:3" ht="15">
      <c r="B146" s="65"/>
      <c r="C146" s="65"/>
    </row>
    <row r="147" spans="2:3" ht="15">
      <c r="B147" s="65"/>
      <c r="C147" s="65"/>
    </row>
    <row r="148" spans="2:3" ht="15">
      <c r="B148" s="65"/>
      <c r="C148" s="65"/>
    </row>
    <row r="149" spans="2:3" ht="15">
      <c r="B149" s="65"/>
      <c r="C149" s="65"/>
    </row>
    <row r="150" spans="2:3" ht="15">
      <c r="B150" s="65"/>
      <c r="C150" s="65"/>
    </row>
    <row r="151" spans="2:3" ht="15">
      <c r="B151" s="65"/>
      <c r="C151" s="65"/>
    </row>
    <row r="152" spans="2:3" ht="15">
      <c r="B152" s="65"/>
      <c r="C152" s="65"/>
    </row>
  </sheetData>
  <sheetProtection sheet="1"/>
  <mergeCells count="7">
    <mergeCell ref="A1:D1"/>
    <mergeCell ref="B3:D3"/>
    <mergeCell ref="C4:D4"/>
    <mergeCell ref="B23:D23"/>
    <mergeCell ref="C24:D24"/>
    <mergeCell ref="C5:C6"/>
    <mergeCell ref="B4:B6"/>
  </mergeCells>
  <printOptions/>
  <pageMargins left="0.7" right="0.7" top="0.75" bottom="0.75" header="0.5118055555555555" footer="0.511805555555555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W214"/>
  <sheetViews>
    <sheetView showGridLines="0" tabSelected="1" zoomScalePageLayoutView="0" workbookViewId="0" topLeftCell="A1">
      <selection activeCell="N17" sqref="N17:P183"/>
    </sheetView>
  </sheetViews>
  <sheetFormatPr defaultColWidth="9.140625" defaultRowHeight="15"/>
  <cols>
    <col min="1" max="1" width="2.7109375" style="0" customWidth="1"/>
    <col min="2" max="3" width="6.7109375" style="0" customWidth="1"/>
    <col min="4" max="4" width="6.421875" style="0" customWidth="1"/>
    <col min="5" max="7" width="8.7109375" style="0" customWidth="1"/>
    <col min="8" max="13" width="1.7109375" style="0" customWidth="1"/>
    <col min="14" max="16" width="6.7109375" style="0" customWidth="1"/>
    <col min="17" max="19" width="8.7109375" style="0" customWidth="1"/>
    <col min="20" max="20" width="1.7109375" style="0" customWidth="1"/>
    <col min="21" max="21" width="23.28125" style="0" customWidth="1"/>
  </cols>
  <sheetData>
    <row r="1" spans="1:21" ht="18.75">
      <c r="A1" s="1045" t="s">
        <v>113</v>
      </c>
      <c r="B1" s="1045"/>
      <c r="C1" s="1045"/>
      <c r="D1" s="1045"/>
      <c r="E1" s="1045"/>
      <c r="F1" s="1045"/>
      <c r="G1" s="1045"/>
      <c r="H1" s="1045"/>
      <c r="I1" s="1045"/>
      <c r="J1" s="1045"/>
      <c r="K1" s="1045"/>
      <c r="L1" s="1045"/>
      <c r="M1" s="1045"/>
      <c r="N1" s="1045"/>
      <c r="O1" s="1045"/>
      <c r="P1" s="1045"/>
      <c r="Q1" s="1045"/>
      <c r="R1" s="1045"/>
      <c r="S1" s="1045"/>
      <c r="T1" s="1045"/>
      <c r="U1" s="1045"/>
    </row>
    <row r="2" spans="1:21" ht="18.75">
      <c r="A2" s="1045" t="s">
        <v>114</v>
      </c>
      <c r="B2" s="1045"/>
      <c r="C2" s="1045"/>
      <c r="D2" s="1045"/>
      <c r="E2" s="1045"/>
      <c r="F2" s="1045"/>
      <c r="G2" s="1045"/>
      <c r="H2" s="1045"/>
      <c r="I2" s="1045"/>
      <c r="J2" s="1045"/>
      <c r="K2" s="1045"/>
      <c r="L2" s="1045"/>
      <c r="M2" s="1045"/>
      <c r="N2" s="1045"/>
      <c r="O2" s="1045"/>
      <c r="P2" s="1045"/>
      <c r="Q2" s="1045"/>
      <c r="R2" s="1045"/>
      <c r="S2" s="1045"/>
      <c r="T2" s="1045"/>
      <c r="U2" s="1045"/>
    </row>
    <row r="3" spans="1:21" ht="18.75">
      <c r="A3" s="122"/>
      <c r="B3" s="122"/>
      <c r="C3" s="122"/>
      <c r="D3" s="122"/>
      <c r="E3" s="122"/>
      <c r="F3" s="122"/>
      <c r="G3" s="122"/>
      <c r="H3" s="122"/>
      <c r="I3" s="122"/>
      <c r="J3" s="122"/>
      <c r="K3" s="122"/>
      <c r="L3" s="122"/>
      <c r="M3" s="122"/>
      <c r="N3" s="122"/>
      <c r="O3" s="122"/>
      <c r="P3" s="122"/>
      <c r="Q3" s="122"/>
      <c r="R3" s="122"/>
      <c r="S3" s="122"/>
      <c r="T3" s="122"/>
      <c r="U3" s="122"/>
    </row>
    <row r="4" ht="17.25">
      <c r="A4" s="123" t="s">
        <v>115</v>
      </c>
    </row>
    <row r="5" spans="2:3" ht="15">
      <c r="B5" s="79" t="s">
        <v>116</v>
      </c>
      <c r="C5" s="65"/>
    </row>
    <row r="6" ht="18">
      <c r="C6" s="124" t="s">
        <v>117</v>
      </c>
    </row>
    <row r="7" ht="15">
      <c r="C7" s="124" t="str">
        <f>CONCATENATE("e = the constant ",TEXT(D195,"#.##"),"…")</f>
        <v>e = the constant 2.72…</v>
      </c>
    </row>
    <row r="8" spans="3:16" ht="15">
      <c r="C8" s="124" t="s">
        <v>118</v>
      </c>
      <c r="P8" s="65"/>
    </row>
    <row r="9" spans="3:16" ht="15">
      <c r="C9" s="124"/>
      <c r="P9" s="65"/>
    </row>
    <row r="10" spans="2:16" ht="15">
      <c r="B10" s="56" t="str">
        <f>"Range: -40 deg. C/F to "&amp;CHAR(126)&amp;"52 deg. C/125 deg. F."</f>
        <v>Range: -40 deg. C/F to ~52 deg. C/125 deg. F.</v>
      </c>
      <c r="C10" s="124"/>
      <c r="P10" s="65"/>
    </row>
    <row r="11" spans="2:16" ht="15">
      <c r="B11" s="960" t="s">
        <v>119</v>
      </c>
      <c r="C11" s="124"/>
      <c r="P11" s="65"/>
    </row>
    <row r="12" spans="2:16" ht="15">
      <c r="B12" s="960" t="s">
        <v>120</v>
      </c>
      <c r="C12" s="124"/>
      <c r="P12" s="65"/>
    </row>
    <row r="14" spans="2:19" ht="14.25" customHeight="1">
      <c r="B14" s="1073" t="s">
        <v>121</v>
      </c>
      <c r="C14" s="1073"/>
      <c r="D14" s="1073"/>
      <c r="E14" s="1073"/>
      <c r="F14" s="1073"/>
      <c r="G14" s="1073"/>
      <c r="H14" s="65"/>
      <c r="J14" s="125"/>
      <c r="N14" s="1073" t="s">
        <v>122</v>
      </c>
      <c r="O14" s="1073"/>
      <c r="P14" s="1073"/>
      <c r="Q14" s="1073"/>
      <c r="R14" s="1073"/>
      <c r="S14" s="1073"/>
    </row>
    <row r="15" spans="2:19" ht="14.25" customHeight="1">
      <c r="B15" s="65"/>
      <c r="E15" s="1090" t="s">
        <v>337</v>
      </c>
      <c r="F15" s="1090"/>
      <c r="G15" s="1091" t="s">
        <v>123</v>
      </c>
      <c r="H15" s="65"/>
      <c r="J15" s="125"/>
      <c r="P15" s="65"/>
      <c r="Q15" s="1090" t="s">
        <v>337</v>
      </c>
      <c r="R15" s="1090"/>
      <c r="S15" s="1091" t="s">
        <v>123</v>
      </c>
    </row>
    <row r="16" spans="2:19" ht="15">
      <c r="B16" s="126" t="s">
        <v>124</v>
      </c>
      <c r="C16" s="126" t="s">
        <v>125</v>
      </c>
      <c r="D16" s="126" t="s">
        <v>126</v>
      </c>
      <c r="E16" s="126" t="s">
        <v>127</v>
      </c>
      <c r="F16" s="126" t="s">
        <v>128</v>
      </c>
      <c r="G16" s="1091"/>
      <c r="H16" s="65"/>
      <c r="J16" s="125"/>
      <c r="N16" s="126" t="s">
        <v>126</v>
      </c>
      <c r="O16" s="126" t="s">
        <v>125</v>
      </c>
      <c r="P16" s="126" t="s">
        <v>124</v>
      </c>
      <c r="Q16" s="126" t="s">
        <v>127</v>
      </c>
      <c r="R16" s="126" t="s">
        <v>128</v>
      </c>
      <c r="S16" s="1091"/>
    </row>
    <row r="17" spans="2:19" ht="15">
      <c r="B17" s="127">
        <v>0</v>
      </c>
      <c r="C17" s="128">
        <f>((5/9)*(D17-32))</f>
        <v>-273.15</v>
      </c>
      <c r="D17" s="129">
        <f>(B17-273.15)*(9/5)+32</f>
        <v>-459.66999999999996</v>
      </c>
      <c r="E17" s="130"/>
      <c r="F17" s="130"/>
      <c r="G17" s="130"/>
      <c r="H17" s="65"/>
      <c r="J17" s="125"/>
      <c r="N17" s="128">
        <f>D17</f>
        <v>-459.66999999999996</v>
      </c>
      <c r="O17" s="129">
        <f>C17</f>
        <v>-273.15</v>
      </c>
      <c r="P17" s="131">
        <f>B17</f>
        <v>0</v>
      </c>
      <c r="Q17" s="130"/>
      <c r="R17" s="130"/>
      <c r="S17" s="130"/>
    </row>
    <row r="18" spans="2:19" ht="15">
      <c r="B18" s="132">
        <v>233.15</v>
      </c>
      <c r="C18" s="133">
        <v>-40</v>
      </c>
      <c r="D18" s="134">
        <f>(B18-273.15)*(9/5)+32</f>
        <v>-39.99999999999996</v>
      </c>
      <c r="E18" s="135">
        <f aca="true" t="shared" si="0" ref="E18:E39">(EXP(D$196+(D$197*B18)-(D$198/B18)))/(B18^8.2)</f>
        <v>18.89009366326259</v>
      </c>
      <c r="F18" s="136">
        <f aca="true" t="shared" si="1" ref="F18:F49">E18*E$190</f>
        <v>0.0027397764555277394</v>
      </c>
      <c r="G18" s="137">
        <f aca="true" t="shared" si="2" ref="G18:G49">F18/E$189</f>
        <v>0.00018637935071617276</v>
      </c>
      <c r="H18" s="65"/>
      <c r="J18" s="125"/>
      <c r="N18" s="725">
        <v>-40</v>
      </c>
      <c r="O18" s="726">
        <f>(5/9)*(N18-32)</f>
        <v>-40</v>
      </c>
      <c r="P18" s="727">
        <f>B18</f>
        <v>233.15</v>
      </c>
      <c r="Q18" s="728">
        <f aca="true" t="shared" si="3" ref="Q18:Q49">(D$195^(D$196+(D$197*P18)-(D$198/P18))/P18^8.2)</f>
        <v>18.89009366326259</v>
      </c>
      <c r="R18" s="729">
        <f aca="true" t="shared" si="4" ref="R18:R49">Q18*E$190</f>
        <v>0.0027397764555277394</v>
      </c>
      <c r="S18" s="730">
        <f aca="true" t="shared" si="5" ref="S18:S49">R18/E$189</f>
        <v>0.00018637935071617276</v>
      </c>
    </row>
    <row r="19" spans="2:19" ht="15">
      <c r="B19" s="138">
        <f aca="true" t="shared" si="6" ref="B19:B26">B18+1</f>
        <v>234.15</v>
      </c>
      <c r="C19" s="139">
        <f>1+C18</f>
        <v>-39</v>
      </c>
      <c r="D19" s="140">
        <f>D18+9/5</f>
        <v>-38.19999999999996</v>
      </c>
      <c r="E19" s="141">
        <f t="shared" si="0"/>
        <v>20.942294155995103</v>
      </c>
      <c r="F19" s="142">
        <f t="shared" si="1"/>
        <v>0.003037422972916149</v>
      </c>
      <c r="G19" s="105">
        <f t="shared" si="2"/>
        <v>0.00020662741312354755</v>
      </c>
      <c r="H19" s="65"/>
      <c r="J19" s="125"/>
      <c r="N19" s="143">
        <f>N18+1</f>
        <v>-39</v>
      </c>
      <c r="O19" s="144">
        <f>(5/9)*(N19-32)</f>
        <v>-39.44444444444444</v>
      </c>
      <c r="P19" s="145">
        <f>P18+5/9</f>
        <v>233.70555555555555</v>
      </c>
      <c r="Q19" s="141">
        <f t="shared" si="3"/>
        <v>20.00646145415027</v>
      </c>
      <c r="R19" s="142">
        <f t="shared" si="4"/>
        <v>0.0029016919146941456</v>
      </c>
      <c r="S19" s="105">
        <f t="shared" si="5"/>
        <v>0.00019739400780232285</v>
      </c>
    </row>
    <row r="20" spans="2:19" ht="15">
      <c r="B20" s="146">
        <f t="shared" si="6"/>
        <v>235.15</v>
      </c>
      <c r="C20" s="147">
        <f>1+C19</f>
        <v>-38</v>
      </c>
      <c r="D20" s="134">
        <f aca="true" t="shared" si="7" ref="D20:D83">D19+9/5</f>
        <v>-36.39999999999996</v>
      </c>
      <c r="E20" s="148">
        <f t="shared" si="0"/>
        <v>23.19475693991779</v>
      </c>
      <c r="F20" s="149">
        <f t="shared" si="1"/>
        <v>0.0033641150800254784</v>
      </c>
      <c r="G20" s="150">
        <f t="shared" si="2"/>
        <v>0.0002288513659881278</v>
      </c>
      <c r="H20" s="65"/>
      <c r="J20" s="125"/>
      <c r="N20" s="731">
        <f aca="true" t="shared" si="8" ref="N20:N83">N19+1</f>
        <v>-38</v>
      </c>
      <c r="O20" s="732">
        <f>(5/9)*(N20-32)</f>
        <v>-38.88888888888889</v>
      </c>
      <c r="P20" s="727">
        <f aca="true" t="shared" si="9" ref="P20:P83">P19+5/9</f>
        <v>234.2611111111111</v>
      </c>
      <c r="Q20" s="733">
        <f t="shared" si="3"/>
        <v>21.182373686268516</v>
      </c>
      <c r="R20" s="734">
        <f t="shared" si="4"/>
        <v>0.003072243564927107</v>
      </c>
      <c r="S20" s="735">
        <f t="shared" si="5"/>
        <v>0.00020899616087939504</v>
      </c>
    </row>
    <row r="21" spans="2:19" ht="15">
      <c r="B21" s="138">
        <f t="shared" si="6"/>
        <v>236.15</v>
      </c>
      <c r="C21" s="139">
        <f>1+C20</f>
        <v>-37</v>
      </c>
      <c r="D21" s="140">
        <f t="shared" si="7"/>
        <v>-34.599999999999966</v>
      </c>
      <c r="E21" s="141">
        <f t="shared" si="0"/>
        <v>25.664717621227794</v>
      </c>
      <c r="F21" s="142">
        <f t="shared" si="1"/>
        <v>0.00372235259019162</v>
      </c>
      <c r="G21" s="105">
        <f t="shared" si="2"/>
        <v>0.0002532212646388857</v>
      </c>
      <c r="H21" s="65"/>
      <c r="J21" s="125"/>
      <c r="N21" s="143">
        <f t="shared" si="8"/>
        <v>-37</v>
      </c>
      <c r="O21" s="144">
        <f>(5/9)*(N21-32)</f>
        <v>-38.333333333333336</v>
      </c>
      <c r="P21" s="145">
        <f t="shared" si="9"/>
        <v>234.81666666666663</v>
      </c>
      <c r="Q21" s="141">
        <f t="shared" si="3"/>
        <v>22.420646190807346</v>
      </c>
      <c r="R21" s="142">
        <f t="shared" si="4"/>
        <v>0.0032518398080130136</v>
      </c>
      <c r="S21" s="105">
        <f t="shared" si="5"/>
        <v>0.00022121359238183767</v>
      </c>
    </row>
    <row r="22" spans="2:19" ht="15">
      <c r="B22" s="146">
        <f t="shared" si="6"/>
        <v>237.15</v>
      </c>
      <c r="C22" s="147">
        <f aca="true" t="shared" si="10" ref="C22:C85">1+C21</f>
        <v>-36</v>
      </c>
      <c r="D22" s="134">
        <f t="shared" si="7"/>
        <v>-32.79999999999997</v>
      </c>
      <c r="E22" s="148">
        <f t="shared" si="0"/>
        <v>28.370684767606498</v>
      </c>
      <c r="F22" s="149">
        <f t="shared" si="1"/>
        <v>0.004114819944204702</v>
      </c>
      <c r="G22" s="150">
        <f t="shared" si="2"/>
        <v>0.000279919724095558</v>
      </c>
      <c r="H22" s="65"/>
      <c r="J22" s="125"/>
      <c r="N22" s="731">
        <f t="shared" si="8"/>
        <v>-36</v>
      </c>
      <c r="O22" s="732">
        <f aca="true" t="shared" si="11" ref="O22:O85">(5/9)*(N22-32)</f>
        <v>-37.77777777777778</v>
      </c>
      <c r="P22" s="727">
        <f t="shared" si="9"/>
        <v>235.37222222222218</v>
      </c>
      <c r="Q22" s="733">
        <f t="shared" si="3"/>
        <v>23.724209770473085</v>
      </c>
      <c r="R22" s="734">
        <f t="shared" si="4"/>
        <v>0.003440905720946915</v>
      </c>
      <c r="S22" s="735">
        <f t="shared" si="5"/>
        <v>0.00023407521911203506</v>
      </c>
    </row>
    <row r="23" spans="2:19" ht="15">
      <c r="B23" s="138">
        <f t="shared" si="6"/>
        <v>238.15</v>
      </c>
      <c r="C23" s="139">
        <f t="shared" si="10"/>
        <v>-35</v>
      </c>
      <c r="D23" s="140">
        <f t="shared" si="7"/>
        <v>-30.999999999999968</v>
      </c>
      <c r="E23" s="141">
        <f t="shared" si="0"/>
        <v>31.332516981263154</v>
      </c>
      <c r="F23" s="142">
        <f t="shared" si="1"/>
        <v>0.004544397388808996</v>
      </c>
      <c r="G23" s="105">
        <f t="shared" si="2"/>
        <v>0.00030914267951081604</v>
      </c>
      <c r="H23" s="65"/>
      <c r="J23" s="125"/>
      <c r="N23" s="143">
        <f t="shared" si="8"/>
        <v>-35</v>
      </c>
      <c r="O23" s="144">
        <f t="shared" si="11"/>
        <v>-37.22222222222222</v>
      </c>
      <c r="P23" s="145">
        <f t="shared" si="9"/>
        <v>235.92777777777772</v>
      </c>
      <c r="Q23" s="141">
        <f t="shared" si="3"/>
        <v>25.09611407817328</v>
      </c>
      <c r="R23" s="142">
        <f t="shared" si="4"/>
        <v>0.0036398836184882073</v>
      </c>
      <c r="S23" s="105">
        <f t="shared" si="5"/>
        <v>0.00024761113050940185</v>
      </c>
    </row>
    <row r="24" spans="2:19" ht="15">
      <c r="B24" s="146">
        <f t="shared" si="6"/>
        <v>239.15</v>
      </c>
      <c r="C24" s="147">
        <f t="shared" si="10"/>
        <v>-34</v>
      </c>
      <c r="D24" s="134">
        <f t="shared" si="7"/>
        <v>-29.199999999999967</v>
      </c>
      <c r="E24" s="148">
        <f t="shared" si="0"/>
        <v>34.571503459081306</v>
      </c>
      <c r="F24" s="149">
        <f t="shared" si="1"/>
        <v>0.005014172660964328</v>
      </c>
      <c r="G24" s="150">
        <f t="shared" si="2"/>
        <v>0.0003411001810179815</v>
      </c>
      <c r="H24" s="65"/>
      <c r="J24" s="125"/>
      <c r="N24" s="731">
        <f t="shared" si="8"/>
        <v>-34</v>
      </c>
      <c r="O24" s="732">
        <f t="shared" si="11"/>
        <v>-36.66666666666667</v>
      </c>
      <c r="P24" s="727">
        <f t="shared" si="9"/>
        <v>236.48333333333326</v>
      </c>
      <c r="Q24" s="733">
        <f t="shared" si="3"/>
        <v>26.53953159472309</v>
      </c>
      <c r="R24" s="734">
        <f t="shared" si="4"/>
        <v>0.0038492336300781694</v>
      </c>
      <c r="S24" s="735">
        <f t="shared" si="5"/>
        <v>0.0002618526278964741</v>
      </c>
    </row>
    <row r="25" spans="2:19" ht="15">
      <c r="B25" s="138">
        <f t="shared" si="6"/>
        <v>240.15</v>
      </c>
      <c r="C25" s="139">
        <f t="shared" si="10"/>
        <v>-33</v>
      </c>
      <c r="D25" s="140">
        <f t="shared" si="7"/>
        <v>-27.399999999999967</v>
      </c>
      <c r="E25" s="141">
        <f t="shared" si="0"/>
        <v>38.11044812838686</v>
      </c>
      <c r="F25" s="142">
        <f t="shared" si="1"/>
        <v>0.005527453190707563</v>
      </c>
      <c r="G25" s="105">
        <f t="shared" si="2"/>
        <v>0.0003760172238576574</v>
      </c>
      <c r="H25" s="65"/>
      <c r="J25" s="125"/>
      <c r="N25" s="143">
        <f t="shared" si="8"/>
        <v>-33</v>
      </c>
      <c r="O25" s="144">
        <f t="shared" si="11"/>
        <v>-36.111111111111114</v>
      </c>
      <c r="P25" s="145">
        <f t="shared" si="9"/>
        <v>237.0388888888888</v>
      </c>
      <c r="Q25" s="141">
        <f t="shared" si="3"/>
        <v>28.057761707032423</v>
      </c>
      <c r="R25" s="142">
        <f t="shared" si="4"/>
        <v>0.004069434291331001</v>
      </c>
      <c r="S25" s="105">
        <f t="shared" si="5"/>
        <v>0.00027683226471639466</v>
      </c>
    </row>
    <row r="26" spans="2:19" ht="15">
      <c r="B26" s="151">
        <f t="shared" si="6"/>
        <v>241.15</v>
      </c>
      <c r="C26" s="147">
        <f t="shared" si="10"/>
        <v>-32</v>
      </c>
      <c r="D26" s="134">
        <f t="shared" si="7"/>
        <v>-25.599999999999966</v>
      </c>
      <c r="E26" s="148">
        <f t="shared" si="0"/>
        <v>41.973757445635755</v>
      </c>
      <c r="F26" s="149">
        <f t="shared" si="1"/>
        <v>0.0060877788352756675</v>
      </c>
      <c r="G26" s="150">
        <f t="shared" si="2"/>
        <v>0.00041413461464460326</v>
      </c>
      <c r="H26" s="65"/>
      <c r="J26" s="125"/>
      <c r="N26" s="731">
        <f t="shared" si="8"/>
        <v>-32</v>
      </c>
      <c r="O26" s="732">
        <f t="shared" si="11"/>
        <v>-35.55555555555556</v>
      </c>
      <c r="P26" s="727">
        <f t="shared" si="9"/>
        <v>237.59444444444435</v>
      </c>
      <c r="Q26" s="733">
        <f t="shared" si="3"/>
        <v>29.65423488824183</v>
      </c>
      <c r="R26" s="734">
        <f t="shared" si="4"/>
        <v>0.004300983150311278</v>
      </c>
      <c r="S26" s="735">
        <f t="shared" si="5"/>
        <v>0.0002925838877762774</v>
      </c>
    </row>
    <row r="27" spans="2:19" ht="15">
      <c r="B27" s="138">
        <f aca="true" t="shared" si="12" ref="B27:B86">B26+1</f>
        <v>242.15</v>
      </c>
      <c r="C27" s="139">
        <f t="shared" si="10"/>
        <v>-31</v>
      </c>
      <c r="D27" s="140">
        <f t="shared" si="7"/>
        <v>-23.799999999999965</v>
      </c>
      <c r="E27" s="141">
        <f t="shared" si="0"/>
        <v>46.187531943993015</v>
      </c>
      <c r="F27" s="142">
        <f t="shared" si="1"/>
        <v>0.006698935156959489</v>
      </c>
      <c r="G27" s="105">
        <f t="shared" si="2"/>
        <v>0.00045570987462309454</v>
      </c>
      <c r="H27" s="65"/>
      <c r="J27" s="125"/>
      <c r="N27" s="143">
        <f t="shared" si="8"/>
        <v>-31</v>
      </c>
      <c r="O27" s="144">
        <f t="shared" si="11"/>
        <v>-35</v>
      </c>
      <c r="P27" s="145">
        <f t="shared" si="9"/>
        <v>238.1499999999999</v>
      </c>
      <c r="Q27" s="141">
        <f t="shared" si="3"/>
        <v>31.33251698126271</v>
      </c>
      <c r="R27" s="142">
        <f t="shared" si="4"/>
        <v>0.004544397388808932</v>
      </c>
      <c r="S27" s="105">
        <f t="shared" si="5"/>
        <v>0.0003091426795108117</v>
      </c>
    </row>
    <row r="28" spans="2:19" ht="15">
      <c r="B28" s="151">
        <f t="shared" si="12"/>
        <v>243.15</v>
      </c>
      <c r="C28" s="147">
        <f t="shared" si="10"/>
        <v>-30</v>
      </c>
      <c r="D28" s="134">
        <f t="shared" si="7"/>
        <v>-21.999999999999964</v>
      </c>
      <c r="E28" s="148">
        <f t="shared" si="0"/>
        <v>50.77966161422066</v>
      </c>
      <c r="F28" s="149">
        <f t="shared" si="1"/>
        <v>0.007364967256931992</v>
      </c>
      <c r="G28" s="150">
        <f t="shared" si="2"/>
        <v>0.000501018180743673</v>
      </c>
      <c r="H28" s="65"/>
      <c r="J28" s="125"/>
      <c r="N28" s="731">
        <f t="shared" si="8"/>
        <v>-30</v>
      </c>
      <c r="O28" s="732">
        <f t="shared" si="11"/>
        <v>-34.44444444444444</v>
      </c>
      <c r="P28" s="727">
        <f t="shared" si="9"/>
        <v>238.70555555555543</v>
      </c>
      <c r="Q28" s="733">
        <f t="shared" si="3"/>
        <v>33.09631358715619</v>
      </c>
      <c r="R28" s="734">
        <f t="shared" si="4"/>
        <v>0.0048002144588197996</v>
      </c>
      <c r="S28" s="735">
        <f t="shared" si="5"/>
        <v>0.0003265452012802585</v>
      </c>
    </row>
    <row r="29" spans="2:19" ht="15">
      <c r="B29" s="138">
        <f t="shared" si="12"/>
        <v>244.15</v>
      </c>
      <c r="C29" s="139">
        <f t="shared" si="10"/>
        <v>-29</v>
      </c>
      <c r="D29" s="140">
        <f t="shared" si="7"/>
        <v>-20.199999999999964</v>
      </c>
      <c r="E29" s="141">
        <f t="shared" si="0"/>
        <v>55.779925201609096</v>
      </c>
      <c r="F29" s="142">
        <f t="shared" si="1"/>
        <v>0.008090194177050578</v>
      </c>
      <c r="G29" s="105">
        <f t="shared" si="2"/>
        <v>0.0005503533453775903</v>
      </c>
      <c r="H29" s="65"/>
      <c r="J29" s="125"/>
      <c r="N29" s="143">
        <f t="shared" si="8"/>
        <v>-29</v>
      </c>
      <c r="O29" s="144">
        <f t="shared" si="11"/>
        <v>-33.88888888888889</v>
      </c>
      <c r="P29" s="145">
        <f t="shared" si="9"/>
        <v>239.26111111111098</v>
      </c>
      <c r="Q29" s="141">
        <f t="shared" si="3"/>
        <v>34.94947455980145</v>
      </c>
      <c r="R29" s="142">
        <f t="shared" si="4"/>
        <v>0.005068992734442148</v>
      </c>
      <c r="S29" s="105">
        <f t="shared" si="5"/>
        <v>0.00034482943771715294</v>
      </c>
    </row>
    <row r="30" spans="2:19" ht="15">
      <c r="B30" s="151">
        <f t="shared" si="12"/>
        <v>245.15</v>
      </c>
      <c r="C30" s="147">
        <f t="shared" si="10"/>
        <v>-28</v>
      </c>
      <c r="D30" s="134">
        <f t="shared" si="7"/>
        <v>-18.399999999999963</v>
      </c>
      <c r="E30" s="148">
        <f t="shared" si="0"/>
        <v>61.22009349976147</v>
      </c>
      <c r="F30" s="149">
        <f t="shared" si="1"/>
        <v>0.008879223881353907</v>
      </c>
      <c r="G30" s="150">
        <f t="shared" si="2"/>
        <v>0.0006040288354662522</v>
      </c>
      <c r="H30" s="65"/>
      <c r="J30" s="125"/>
      <c r="N30" s="731">
        <f t="shared" si="8"/>
        <v>-28</v>
      </c>
      <c r="O30" s="732">
        <f t="shared" si="11"/>
        <v>-33.333333333333336</v>
      </c>
      <c r="P30" s="727">
        <f t="shared" si="9"/>
        <v>239.81666666666652</v>
      </c>
      <c r="Q30" s="733">
        <f t="shared" si="3"/>
        <v>36.89599860825433</v>
      </c>
      <c r="R30" s="734">
        <f t="shared" si="4"/>
        <v>0.0053513121793923564</v>
      </c>
      <c r="S30" s="735">
        <f t="shared" si="5"/>
        <v>0.0003640348421355345</v>
      </c>
    </row>
    <row r="31" spans="2:19" ht="15">
      <c r="B31" s="138">
        <f t="shared" si="12"/>
        <v>246.15</v>
      </c>
      <c r="C31" s="139">
        <f t="shared" si="10"/>
        <v>-27</v>
      </c>
      <c r="D31" s="140">
        <f t="shared" si="7"/>
        <v>-16.599999999999962</v>
      </c>
      <c r="E31" s="141">
        <f t="shared" si="0"/>
        <v>67.13403672003953</v>
      </c>
      <c r="F31" s="142">
        <f t="shared" si="1"/>
        <v>0.009736968828683473</v>
      </c>
      <c r="G31" s="105">
        <f t="shared" si="2"/>
        <v>0.0006623788318832294</v>
      </c>
      <c r="H31" s="65"/>
      <c r="J31" s="125"/>
      <c r="N31" s="143">
        <f t="shared" si="8"/>
        <v>-27</v>
      </c>
      <c r="O31" s="144">
        <f t="shared" si="11"/>
        <v>-32.77777777777778</v>
      </c>
      <c r="P31" s="145">
        <f t="shared" si="9"/>
        <v>240.37222222222206</v>
      </c>
      <c r="Q31" s="141">
        <f t="shared" si="3"/>
        <v>38.94003800822435</v>
      </c>
      <c r="R31" s="142">
        <f t="shared" si="4"/>
        <v>0.005647775030346885</v>
      </c>
      <c r="S31" s="105">
        <f t="shared" si="5"/>
        <v>0.00038420238301679487</v>
      </c>
    </row>
    <row r="32" spans="2:19" ht="15">
      <c r="B32" s="151">
        <f t="shared" si="12"/>
        <v>247.15</v>
      </c>
      <c r="C32" s="147">
        <f t="shared" si="10"/>
        <v>-26</v>
      </c>
      <c r="D32" s="134">
        <f t="shared" si="7"/>
        <v>-14.799999999999962</v>
      </c>
      <c r="E32" s="148">
        <f t="shared" si="0"/>
        <v>73.557836013202</v>
      </c>
      <c r="F32" s="149">
        <f t="shared" si="1"/>
        <v>0.010668662147529756</v>
      </c>
      <c r="G32" s="150">
        <f t="shared" si="2"/>
        <v>0.000725759329763929</v>
      </c>
      <c r="H32" s="65"/>
      <c r="J32" s="125"/>
      <c r="N32" s="731">
        <f t="shared" si="8"/>
        <v>-26</v>
      </c>
      <c r="O32" s="732">
        <f t="shared" si="11"/>
        <v>-32.22222222222222</v>
      </c>
      <c r="P32" s="727">
        <f t="shared" si="9"/>
        <v>240.9277777777776</v>
      </c>
      <c r="Q32" s="733">
        <f t="shared" si="3"/>
        <v>41.08590342406023</v>
      </c>
      <c r="R32" s="734">
        <f t="shared" si="4"/>
        <v>0.0059590064963121496</v>
      </c>
      <c r="S32" s="735">
        <f t="shared" si="5"/>
        <v>0.00040537459158586055</v>
      </c>
    </row>
    <row r="33" spans="2:19" ht="15">
      <c r="B33" s="138">
        <f t="shared" si="12"/>
        <v>248.15</v>
      </c>
      <c r="C33" s="139">
        <f t="shared" si="10"/>
        <v>-25</v>
      </c>
      <c r="D33" s="140">
        <f t="shared" si="7"/>
        <v>-12.999999999999961</v>
      </c>
      <c r="E33" s="141">
        <f t="shared" si="0"/>
        <v>80.52989921737893</v>
      </c>
      <c r="F33" s="142">
        <f t="shared" si="1"/>
        <v>0.01167987442385661</v>
      </c>
      <c r="G33" s="105">
        <f t="shared" si="2"/>
        <v>0.0007945492805344633</v>
      </c>
      <c r="H33" s="65"/>
      <c r="J33" s="125"/>
      <c r="N33" s="143">
        <f t="shared" si="8"/>
        <v>-25</v>
      </c>
      <c r="O33" s="144">
        <f t="shared" si="11"/>
        <v>-31.666666666666668</v>
      </c>
      <c r="P33" s="145">
        <f t="shared" si="9"/>
        <v>241.48333333333315</v>
      </c>
      <c r="Q33" s="141">
        <f t="shared" si="3"/>
        <v>43.33806884261923</v>
      </c>
      <c r="R33" s="142">
        <f t="shared" si="4"/>
        <v>0.006285655474221771</v>
      </c>
      <c r="S33" s="105">
        <f t="shared" si="5"/>
        <v>0.00042759561049127696</v>
      </c>
    </row>
    <row r="34" spans="2:19" ht="15">
      <c r="B34" s="151">
        <f t="shared" si="12"/>
        <v>249.15</v>
      </c>
      <c r="C34" s="147">
        <f t="shared" si="10"/>
        <v>-24</v>
      </c>
      <c r="D34" s="134">
        <f t="shared" si="7"/>
        <v>-11.19999999999996</v>
      </c>
      <c r="E34" s="148">
        <f t="shared" si="0"/>
        <v>88.09108090398239</v>
      </c>
      <c r="F34" s="149">
        <f t="shared" si="1"/>
        <v>0.0127765311122886</v>
      </c>
      <c r="G34" s="150">
        <f t="shared" si="2"/>
        <v>0.0008691517763461632</v>
      </c>
      <c r="H34" s="65"/>
      <c r="J34" s="125"/>
      <c r="N34" s="731">
        <f t="shared" si="8"/>
        <v>-24</v>
      </c>
      <c r="O34" s="732">
        <f t="shared" si="11"/>
        <v>-31.111111111111114</v>
      </c>
      <c r="P34" s="727">
        <f t="shared" si="9"/>
        <v>242.0388888888887</v>
      </c>
      <c r="Q34" s="733">
        <f t="shared" si="3"/>
        <v>45.701176620400794</v>
      </c>
      <c r="R34" s="734">
        <f t="shared" si="4"/>
        <v>0.006628395280961415</v>
      </c>
      <c r="S34" s="735">
        <f t="shared" si="5"/>
        <v>0.0004509112436028174</v>
      </c>
    </row>
    <row r="35" spans="2:19" ht="15">
      <c r="B35" s="138">
        <f t="shared" si="12"/>
        <v>250.15</v>
      </c>
      <c r="C35" s="139">
        <f t="shared" si="10"/>
        <v>-23</v>
      </c>
      <c r="D35" s="140">
        <f t="shared" si="7"/>
        <v>-9.39999999999996</v>
      </c>
      <c r="E35" s="141">
        <f t="shared" si="0"/>
        <v>96.28480679036885</v>
      </c>
      <c r="F35" s="142">
        <f t="shared" si="1"/>
        <v>0.013964930580642137</v>
      </c>
      <c r="G35" s="105">
        <f t="shared" si="2"/>
        <v>0.0009499952775947032</v>
      </c>
      <c r="H35" s="65"/>
      <c r="J35" s="125"/>
      <c r="N35" s="143">
        <f t="shared" si="8"/>
        <v>-23</v>
      </c>
      <c r="O35" s="144">
        <f t="shared" si="11"/>
        <v>-30.555555555555557</v>
      </c>
      <c r="P35" s="145">
        <f t="shared" si="9"/>
        <v>242.59444444444424</v>
      </c>
      <c r="Q35" s="141">
        <f t="shared" si="3"/>
        <v>48.18004264528548</v>
      </c>
      <c r="R35" s="142">
        <f t="shared" si="4"/>
        <v>0.006987924402015742</v>
      </c>
      <c r="S35" s="105">
        <f t="shared" si="5"/>
        <v>0.00047536900693984644</v>
      </c>
    </row>
    <row r="36" spans="2:19" ht="15">
      <c r="B36" s="151">
        <f t="shared" si="12"/>
        <v>251.15</v>
      </c>
      <c r="C36" s="147">
        <f t="shared" si="10"/>
        <v>-22</v>
      </c>
      <c r="D36" s="134">
        <f t="shared" si="7"/>
        <v>-7.59999999999996</v>
      </c>
      <c r="E36" s="148">
        <f t="shared" si="0"/>
        <v>105.15720258520076</v>
      </c>
      <c r="F36" s="149">
        <f t="shared" si="1"/>
        <v>0.01525176279736527</v>
      </c>
      <c r="G36" s="150">
        <f t="shared" si="2"/>
        <v>0.0010375348841745082</v>
      </c>
      <c r="H36" s="65"/>
      <c r="J36" s="125"/>
      <c r="N36" s="731">
        <f t="shared" si="8"/>
        <v>-22</v>
      </c>
      <c r="O36" s="732">
        <f t="shared" si="11"/>
        <v>-30</v>
      </c>
      <c r="P36" s="727">
        <f t="shared" si="9"/>
        <v>243.14999999999978</v>
      </c>
      <c r="Q36" s="733">
        <f t="shared" si="3"/>
        <v>50.77966161421957</v>
      </c>
      <c r="R36" s="734">
        <f t="shared" si="4"/>
        <v>0.007364967256931834</v>
      </c>
      <c r="S36" s="735">
        <f t="shared" si="5"/>
        <v>0.0005010181807436622</v>
      </c>
    </row>
    <row r="37" spans="2:19" ht="15">
      <c r="B37" s="138">
        <f t="shared" si="12"/>
        <v>252.15</v>
      </c>
      <c r="C37" s="139">
        <f t="shared" si="10"/>
        <v>-21</v>
      </c>
      <c r="D37" s="140">
        <f t="shared" si="7"/>
        <v>-5.79999999999996</v>
      </c>
      <c r="E37" s="141">
        <f t="shared" si="0"/>
        <v>114.75722732937975</v>
      </c>
      <c r="F37" s="142">
        <f t="shared" si="1"/>
        <v>0.01664412867100502</v>
      </c>
      <c r="G37" s="105">
        <f t="shared" si="2"/>
        <v>0.001132253651088777</v>
      </c>
      <c r="H37" s="65"/>
      <c r="J37" s="125"/>
      <c r="N37" s="143">
        <f t="shared" si="8"/>
        <v>-21</v>
      </c>
      <c r="O37" s="144">
        <f t="shared" si="11"/>
        <v>-29.444444444444446</v>
      </c>
      <c r="P37" s="145">
        <f t="shared" si="9"/>
        <v>243.70555555555532</v>
      </c>
      <c r="Q37" s="141">
        <f t="shared" si="3"/>
        <v>53.50521242816658</v>
      </c>
      <c r="R37" s="142">
        <f t="shared" si="4"/>
        <v>0.007760274981790768</v>
      </c>
      <c r="S37" s="105">
        <f t="shared" si="5"/>
        <v>0.000527909862706855</v>
      </c>
    </row>
    <row r="38" spans="2:19" ht="15">
      <c r="B38" s="151">
        <f t="shared" si="12"/>
        <v>253.15</v>
      </c>
      <c r="C38" s="147">
        <f t="shared" si="10"/>
        <v>-20</v>
      </c>
      <c r="D38" s="134">
        <f t="shared" si="7"/>
        <v>-3.99999999999996</v>
      </c>
      <c r="E38" s="148">
        <f t="shared" si="0"/>
        <v>125.13681129222188</v>
      </c>
      <c r="F38" s="149">
        <f t="shared" si="1"/>
        <v>0.018149560050356717</v>
      </c>
      <c r="G38" s="150">
        <f t="shared" si="2"/>
        <v>0.0012346639490038583</v>
      </c>
      <c r="H38" s="65"/>
      <c r="J38" s="125"/>
      <c r="N38" s="731">
        <f t="shared" si="8"/>
        <v>-20</v>
      </c>
      <c r="O38" s="732">
        <f t="shared" si="11"/>
        <v>-28.88888888888889</v>
      </c>
      <c r="P38" s="727">
        <f t="shared" si="9"/>
        <v>244.26111111111086</v>
      </c>
      <c r="Q38" s="733">
        <f t="shared" si="3"/>
        <v>56.362063705607824</v>
      </c>
      <c r="R38" s="734">
        <f t="shared" si="4"/>
        <v>0.008174626228873256</v>
      </c>
      <c r="S38" s="735">
        <f t="shared" si="5"/>
        <v>0.0005560970223723304</v>
      </c>
    </row>
    <row r="39" spans="2:19" ht="15">
      <c r="B39" s="138">
        <f t="shared" si="12"/>
        <v>254.15</v>
      </c>
      <c r="C39" s="139">
        <f t="shared" si="10"/>
        <v>-19</v>
      </c>
      <c r="D39" s="140">
        <f t="shared" si="7"/>
        <v>-2.19999999999996</v>
      </c>
      <c r="E39" s="141">
        <f t="shared" si="0"/>
        <v>136.3509984791192</v>
      </c>
      <c r="F39" s="142">
        <f t="shared" si="1"/>
        <v>0.019776040393452887</v>
      </c>
      <c r="G39" s="105">
        <f t="shared" si="2"/>
        <v>0.0013453088703029175</v>
      </c>
      <c r="H39" s="65"/>
      <c r="J39" s="125"/>
      <c r="N39" s="143">
        <f t="shared" si="8"/>
        <v>-19</v>
      </c>
      <c r="O39" s="144">
        <f t="shared" si="11"/>
        <v>-28.333333333333336</v>
      </c>
      <c r="P39" s="145">
        <f t="shared" si="9"/>
        <v>244.8166666666664</v>
      </c>
      <c r="Q39" s="141">
        <f t="shared" si="3"/>
        <v>59.355779415898084</v>
      </c>
      <c r="R39" s="142">
        <f t="shared" si="4"/>
        <v>0.008608827983708819</v>
      </c>
      <c r="S39" s="105">
        <f t="shared" si="5"/>
        <v>0.0005856345567148857</v>
      </c>
    </row>
    <row r="40" spans="2:19" ht="15">
      <c r="B40" s="152">
        <f t="shared" si="12"/>
        <v>255.15</v>
      </c>
      <c r="C40" s="153">
        <f t="shared" si="10"/>
        <v>-18</v>
      </c>
      <c r="D40" s="154">
        <f t="shared" si="7"/>
        <v>-0.39999999999996017</v>
      </c>
      <c r="E40" s="155">
        <f aca="true" t="shared" si="13" ref="E40:E71">(D$195^(D$196+(D$197*B40)-(D$198/B40)))/(B40^8.2)</f>
        <v>148.4580938034942</v>
      </c>
      <c r="F40" s="156">
        <f t="shared" si="1"/>
        <v>0.021532026113050613</v>
      </c>
      <c r="G40" s="157">
        <f t="shared" si="2"/>
        <v>0.0014647636811599058</v>
      </c>
      <c r="H40" s="65"/>
      <c r="J40" s="125"/>
      <c r="N40" s="731">
        <f t="shared" si="8"/>
        <v>-18</v>
      </c>
      <c r="O40" s="732">
        <f t="shared" si="11"/>
        <v>-27.77777777777778</v>
      </c>
      <c r="P40" s="727">
        <f t="shared" si="9"/>
        <v>245.37222222222195</v>
      </c>
      <c r="Q40" s="733">
        <f t="shared" si="3"/>
        <v>62.49212463370619</v>
      </c>
      <c r="R40" s="734">
        <f t="shared" si="4"/>
        <v>0.009063716399686825</v>
      </c>
      <c r="S40" s="735">
        <f t="shared" si="5"/>
        <v>0.0006165793469174711</v>
      </c>
    </row>
    <row r="41" spans="2:19" ht="15">
      <c r="B41" s="158">
        <f t="shared" si="12"/>
        <v>256.15</v>
      </c>
      <c r="C41" s="159">
        <f t="shared" si="10"/>
        <v>-17</v>
      </c>
      <c r="D41" s="160">
        <f t="shared" si="7"/>
        <v>1.4000000000000399</v>
      </c>
      <c r="E41" s="161">
        <f t="shared" si="13"/>
        <v>161.5198149720998</v>
      </c>
      <c r="F41" s="162">
        <f t="shared" si="1"/>
        <v>0.023426468605731887</v>
      </c>
      <c r="G41" s="163">
        <f t="shared" si="2"/>
        <v>0.0015936373201178155</v>
      </c>
      <c r="H41" s="65"/>
      <c r="J41" s="125"/>
      <c r="N41" s="143">
        <f t="shared" si="8"/>
        <v>-17</v>
      </c>
      <c r="O41" s="144">
        <f t="shared" si="11"/>
        <v>-27.222222222222225</v>
      </c>
      <c r="P41" s="145">
        <f t="shared" si="9"/>
        <v>245.9277777777775</v>
      </c>
      <c r="Q41" s="141">
        <f t="shared" si="3"/>
        <v>65.77707141580524</v>
      </c>
      <c r="R41" s="142">
        <f t="shared" si="4"/>
        <v>0.009540157650412849</v>
      </c>
      <c r="S41" s="105">
        <f t="shared" si="5"/>
        <v>0.0006489903163546156</v>
      </c>
    </row>
    <row r="42" spans="2:19" ht="15">
      <c r="B42" s="164">
        <f t="shared" si="12"/>
        <v>257.15</v>
      </c>
      <c r="C42" s="165">
        <f t="shared" si="10"/>
        <v>-16</v>
      </c>
      <c r="D42" s="166">
        <f t="shared" si="7"/>
        <v>3.20000000000004</v>
      </c>
      <c r="E42" s="167">
        <f t="shared" si="13"/>
        <v>175.60144912898275</v>
      </c>
      <c r="F42" s="168">
        <f t="shared" si="1"/>
        <v>0.025468836971189728</v>
      </c>
      <c r="G42" s="169">
        <f t="shared" si="2"/>
        <v>0.0017325739436183489</v>
      </c>
      <c r="H42" s="65"/>
      <c r="J42" s="125"/>
      <c r="N42" s="731">
        <f t="shared" si="8"/>
        <v>-16</v>
      </c>
      <c r="O42" s="732">
        <f t="shared" si="11"/>
        <v>-26.666666666666668</v>
      </c>
      <c r="P42" s="727">
        <f t="shared" si="9"/>
        <v>246.48333333333304</v>
      </c>
      <c r="Q42" s="733">
        <f t="shared" si="3"/>
        <v>69.21680480140833</v>
      </c>
      <c r="R42" s="734">
        <f t="shared" si="4"/>
        <v>0.010039048799983803</v>
      </c>
      <c r="S42" s="735">
        <f t="shared" si="5"/>
        <v>0.0006829284897948165</v>
      </c>
    </row>
    <row r="43" spans="2:19" ht="15">
      <c r="B43" s="170">
        <f t="shared" si="12"/>
        <v>258.15</v>
      </c>
      <c r="C43" s="171">
        <f t="shared" si="10"/>
        <v>-15</v>
      </c>
      <c r="D43" s="172">
        <f t="shared" si="7"/>
        <v>5.00000000000004</v>
      </c>
      <c r="E43" s="173">
        <f t="shared" si="13"/>
        <v>190.77201429943182</v>
      </c>
      <c r="F43" s="174">
        <f t="shared" si="1"/>
        <v>0.027669141427693243</v>
      </c>
      <c r="G43" s="163">
        <f t="shared" si="2"/>
        <v>0.001882254518890697</v>
      </c>
      <c r="H43" s="65"/>
      <c r="J43" s="125"/>
      <c r="N43" s="143">
        <f t="shared" si="8"/>
        <v>-15</v>
      </c>
      <c r="O43" s="144">
        <f t="shared" si="11"/>
        <v>-26.11111111111111</v>
      </c>
      <c r="P43" s="145">
        <f t="shared" si="9"/>
        <v>247.03888888888858</v>
      </c>
      <c r="Q43" s="141">
        <f t="shared" si="3"/>
        <v>72.81772893725697</v>
      </c>
      <c r="R43" s="142">
        <f t="shared" si="4"/>
        <v>0.010561318691356895</v>
      </c>
      <c r="S43" s="105">
        <f t="shared" si="5"/>
        <v>0.0007184570538338025</v>
      </c>
    </row>
    <row r="44" spans="2:23" ht="15">
      <c r="B44" s="164">
        <f t="shared" si="12"/>
        <v>259.15</v>
      </c>
      <c r="C44" s="165">
        <f t="shared" si="10"/>
        <v>-14</v>
      </c>
      <c r="D44" s="166">
        <f t="shared" si="7"/>
        <v>6.80000000000004</v>
      </c>
      <c r="E44" s="167">
        <f t="shared" si="13"/>
        <v>207.1044256712011</v>
      </c>
      <c r="F44" s="168">
        <f t="shared" si="1"/>
        <v>0.03003795742914014</v>
      </c>
      <c r="G44" s="169">
        <f t="shared" si="2"/>
        <v>0.0020433984645673565</v>
      </c>
      <c r="H44" s="65"/>
      <c r="J44" s="125"/>
      <c r="N44" s="731">
        <f t="shared" si="8"/>
        <v>-14</v>
      </c>
      <c r="O44" s="732">
        <f t="shared" si="11"/>
        <v>-25.555555555555557</v>
      </c>
      <c r="P44" s="727">
        <f t="shared" si="9"/>
        <v>247.59444444444412</v>
      </c>
      <c r="Q44" s="733">
        <f t="shared" si="3"/>
        <v>76.58647332862428</v>
      </c>
      <c r="R44" s="734">
        <f t="shared" si="4"/>
        <v>0.011107928852980996</v>
      </c>
      <c r="S44" s="735">
        <f t="shared" si="5"/>
        <v>0.0007556414185701358</v>
      </c>
      <c r="W44" s="65"/>
    </row>
    <row r="45" spans="2:19" ht="15">
      <c r="B45" s="170">
        <f t="shared" si="12"/>
        <v>260.15</v>
      </c>
      <c r="C45" s="171">
        <f t="shared" si="10"/>
        <v>-13</v>
      </c>
      <c r="D45" s="172">
        <f t="shared" si="7"/>
        <v>8.60000000000004</v>
      </c>
      <c r="E45" s="173">
        <f t="shared" si="13"/>
        <v>224.67566674612308</v>
      </c>
      <c r="F45" s="174">
        <f t="shared" si="1"/>
        <v>0.03258645048849951</v>
      </c>
      <c r="G45" s="163">
        <f t="shared" si="2"/>
        <v>0.002216765339353708</v>
      </c>
      <c r="H45" s="65"/>
      <c r="J45" s="125"/>
      <c r="N45" s="143">
        <f t="shared" si="8"/>
        <v>-13</v>
      </c>
      <c r="O45" s="144">
        <f t="shared" si="11"/>
        <v>-25</v>
      </c>
      <c r="P45" s="145">
        <f t="shared" si="9"/>
        <v>248.14999999999966</v>
      </c>
      <c r="Q45" s="141">
        <f t="shared" si="3"/>
        <v>80.52989921737664</v>
      </c>
      <c r="R45" s="142">
        <f t="shared" si="4"/>
        <v>0.011679874423856278</v>
      </c>
      <c r="S45" s="105">
        <f t="shared" si="5"/>
        <v>0.0007945492805344407</v>
      </c>
    </row>
    <row r="46" spans="2:23" ht="15">
      <c r="B46" s="164">
        <f t="shared" si="12"/>
        <v>261.15</v>
      </c>
      <c r="C46" s="165">
        <f t="shared" si="10"/>
        <v>-12</v>
      </c>
      <c r="D46" s="166">
        <f t="shared" si="7"/>
        <v>10.400000000000041</v>
      </c>
      <c r="E46" s="167">
        <f t="shared" si="13"/>
        <v>243.5669653908281</v>
      </c>
      <c r="F46" s="168">
        <f t="shared" si="1"/>
        <v>0.03532640171180999</v>
      </c>
      <c r="G46" s="169">
        <f t="shared" si="2"/>
        <v>0.0024031565790346935</v>
      </c>
      <c r="H46" s="65"/>
      <c r="J46" s="125"/>
      <c r="N46" s="731">
        <f t="shared" si="8"/>
        <v>-12</v>
      </c>
      <c r="O46" s="732">
        <f t="shared" si="11"/>
        <v>-24.444444444444446</v>
      </c>
      <c r="P46" s="727">
        <f t="shared" si="9"/>
        <v>248.7055555555552</v>
      </c>
      <c r="Q46" s="733">
        <f t="shared" si="3"/>
        <v>84.65510608822296</v>
      </c>
      <c r="R46" s="734">
        <f t="shared" si="4"/>
        <v>0.012278185097185887</v>
      </c>
      <c r="S46" s="735">
        <f t="shared" si="5"/>
        <v>0.0008352506868833936</v>
      </c>
      <c r="W46" s="65"/>
    </row>
    <row r="47" spans="2:23" ht="15">
      <c r="B47" s="170">
        <f t="shared" si="12"/>
        <v>262.15</v>
      </c>
      <c r="C47" s="171">
        <f t="shared" si="10"/>
        <v>-11</v>
      </c>
      <c r="D47" s="172">
        <f t="shared" si="7"/>
        <v>12.200000000000042</v>
      </c>
      <c r="E47" s="173">
        <f t="shared" si="13"/>
        <v>263.8639748110165</v>
      </c>
      <c r="F47" s="174">
        <f t="shared" si="1"/>
        <v>0.03827023404627881</v>
      </c>
      <c r="G47" s="163">
        <f t="shared" si="2"/>
        <v>0.002603417282059783</v>
      </c>
      <c r="H47" s="65"/>
      <c r="J47" s="125"/>
      <c r="N47" s="143">
        <f t="shared" si="8"/>
        <v>-11</v>
      </c>
      <c r="O47" s="144">
        <f t="shared" si="11"/>
        <v>-23.88888888888889</v>
      </c>
      <c r="P47" s="145">
        <f t="shared" si="9"/>
        <v>249.26111111111075</v>
      </c>
      <c r="Q47" s="141">
        <f t="shared" si="3"/>
        <v>88.96943830424215</v>
      </c>
      <c r="R47" s="142">
        <f t="shared" si="4"/>
        <v>0.012903926082777836</v>
      </c>
      <c r="S47" s="105">
        <f t="shared" si="5"/>
        <v>0.0008778181008692406</v>
      </c>
      <c r="W47" s="65"/>
    </row>
    <row r="48" spans="2:23" ht="15">
      <c r="B48" s="164">
        <f t="shared" si="12"/>
        <v>263.15</v>
      </c>
      <c r="C48" s="165">
        <f t="shared" si="10"/>
        <v>-10</v>
      </c>
      <c r="D48" s="166">
        <f t="shared" si="7"/>
        <v>14.000000000000043</v>
      </c>
      <c r="E48" s="167">
        <f t="shared" si="13"/>
        <v>285.65695946908653</v>
      </c>
      <c r="F48" s="168">
        <f t="shared" si="1"/>
        <v>0.04143103924535399</v>
      </c>
      <c r="G48" s="169">
        <f t="shared" si="2"/>
        <v>0.0028184380439016323</v>
      </c>
      <c r="H48" s="65"/>
      <c r="J48" s="125"/>
      <c r="N48" s="731">
        <f t="shared" si="8"/>
        <v>-10</v>
      </c>
      <c r="O48" s="732">
        <f t="shared" si="11"/>
        <v>-23.333333333333336</v>
      </c>
      <c r="P48" s="727">
        <f t="shared" si="9"/>
        <v>249.8166666666663</v>
      </c>
      <c r="Q48" s="733">
        <f t="shared" si="3"/>
        <v>93.48049187273473</v>
      </c>
      <c r="R48" s="734">
        <f t="shared" si="4"/>
        <v>0.013558199088348828</v>
      </c>
      <c r="S48" s="735">
        <f t="shared" si="5"/>
        <v>0.0009223264685951584</v>
      </c>
      <c r="W48" s="65"/>
    </row>
    <row r="49" spans="2:22" ht="15">
      <c r="B49" s="170">
        <f t="shared" si="12"/>
        <v>264.15</v>
      </c>
      <c r="C49" s="171">
        <f t="shared" si="10"/>
        <v>-9</v>
      </c>
      <c r="D49" s="172">
        <f t="shared" si="7"/>
        <v>15.800000000000043</v>
      </c>
      <c r="E49" s="173">
        <f t="shared" si="13"/>
        <v>309.0409859603304</v>
      </c>
      <c r="F49" s="174">
        <f t="shared" si="1"/>
        <v>0.044822605552976076</v>
      </c>
      <c r="G49" s="163">
        <f t="shared" si="2"/>
        <v>0.0030491568403385088</v>
      </c>
      <c r="H49" s="65"/>
      <c r="J49" s="125"/>
      <c r="N49" s="143">
        <f t="shared" si="8"/>
        <v>-9</v>
      </c>
      <c r="O49" s="144">
        <f t="shared" si="11"/>
        <v>-22.77777777777778</v>
      </c>
      <c r="P49" s="145">
        <f t="shared" si="9"/>
        <v>250.37222222222184</v>
      </c>
      <c r="Q49" s="141">
        <f t="shared" si="3"/>
        <v>98.1961213424864</v>
      </c>
      <c r="R49" s="142">
        <f t="shared" si="4"/>
        <v>0.01424214331988775</v>
      </c>
      <c r="S49" s="105">
        <f t="shared" si="5"/>
        <v>0.000968853287067194</v>
      </c>
      <c r="V49" s="65"/>
    </row>
    <row r="50" spans="2:19" ht="15">
      <c r="B50" s="164">
        <f t="shared" si="12"/>
        <v>265.15</v>
      </c>
      <c r="C50" s="165">
        <f t="shared" si="10"/>
        <v>-8</v>
      </c>
      <c r="D50" s="166">
        <f t="shared" si="7"/>
        <v>17.600000000000044</v>
      </c>
      <c r="E50" s="167">
        <f t="shared" si="13"/>
        <v>334.1161188582924</v>
      </c>
      <c r="F50" s="168">
        <f aca="true" t="shared" si="14" ref="F50:F81">E50*E$190</f>
        <v>0.04845944610854587</v>
      </c>
      <c r="G50" s="169">
        <f aca="true" t="shared" si="15" ref="G50:G81">F50/E$189</f>
        <v>0.0032965609597650253</v>
      </c>
      <c r="H50" s="65"/>
      <c r="J50" s="125"/>
      <c r="N50" s="731">
        <f t="shared" si="8"/>
        <v>-8</v>
      </c>
      <c r="O50" s="732">
        <f t="shared" si="11"/>
        <v>-22.22222222222222</v>
      </c>
      <c r="P50" s="727">
        <f t="shared" si="9"/>
        <v>250.92777777777738</v>
      </c>
      <c r="Q50" s="733">
        <f aca="true" t="shared" si="16" ref="Q50:Q81">(D$195^(D$196+(D$197*P50)-(D$198/P50))/P50^8.2)</f>
        <v>103.1244468333887</v>
      </c>
      <c r="R50" s="734">
        <f aca="true" t="shared" si="17" ref="R50:R81">Q50*E$190</f>
        <v>0.01495693650121596</v>
      </c>
      <c r="S50" s="735">
        <f aca="true" t="shared" si="18" ref="S50:S81">R50/E$189</f>
        <v>0.001017478673552106</v>
      </c>
    </row>
    <row r="51" spans="2:19" ht="15">
      <c r="B51" s="170">
        <f t="shared" si="12"/>
        <v>266.15</v>
      </c>
      <c r="C51" s="171">
        <f t="shared" si="10"/>
        <v>-7</v>
      </c>
      <c r="D51" s="172">
        <f t="shared" si="7"/>
        <v>19.400000000000045</v>
      </c>
      <c r="E51" s="173">
        <f t="shared" si="13"/>
        <v>360.9876215350068</v>
      </c>
      <c r="F51" s="174">
        <f t="shared" si="14"/>
        <v>0.052356828073437466</v>
      </c>
      <c r="G51" s="163">
        <f t="shared" si="15"/>
        <v>0.003561688984587583</v>
      </c>
      <c r="H51" s="65"/>
      <c r="J51" s="125"/>
      <c r="N51" s="143">
        <f t="shared" si="8"/>
        <v>-7</v>
      </c>
      <c r="O51" s="144">
        <f t="shared" si="11"/>
        <v>-21.666666666666668</v>
      </c>
      <c r="P51" s="145">
        <f t="shared" si="9"/>
        <v>251.48333333333292</v>
      </c>
      <c r="Q51" s="141">
        <f t="shared" si="16"/>
        <v>108.27386119945659</v>
      </c>
      <c r="R51" s="142">
        <f t="shared" si="17"/>
        <v>0.01570379591289515</v>
      </c>
      <c r="S51" s="105">
        <f t="shared" si="18"/>
        <v>0.001068285436251371</v>
      </c>
    </row>
    <row r="52" spans="2:19" ht="15">
      <c r="B52" s="164">
        <f t="shared" si="12"/>
        <v>267.15</v>
      </c>
      <c r="C52" s="165">
        <f t="shared" si="10"/>
        <v>-6</v>
      </c>
      <c r="D52" s="166">
        <f t="shared" si="7"/>
        <v>21.200000000000045</v>
      </c>
      <c r="E52" s="167">
        <f t="shared" si="13"/>
        <v>389.76616195693094</v>
      </c>
      <c r="F52" s="168">
        <f t="shared" si="14"/>
        <v>0.05653080247917491</v>
      </c>
      <c r="G52" s="169">
        <f t="shared" si="15"/>
        <v>0.0038456328217125794</v>
      </c>
      <c r="H52" s="65"/>
      <c r="J52" s="125"/>
      <c r="N52" s="731">
        <f t="shared" si="8"/>
        <v>-6</v>
      </c>
      <c r="O52" s="732">
        <f t="shared" si="11"/>
        <v>-21.11111111111111</v>
      </c>
      <c r="P52" s="727">
        <f t="shared" si="9"/>
        <v>252.03888888888847</v>
      </c>
      <c r="Q52" s="733">
        <f t="shared" si="16"/>
        <v>113.65303732616239</v>
      </c>
      <c r="R52" s="734">
        <f t="shared" si="17"/>
        <v>0.016483979450616162</v>
      </c>
      <c r="S52" s="735">
        <f t="shared" si="18"/>
        <v>0.0011213591463004192</v>
      </c>
    </row>
    <row r="53" spans="2:19" ht="15">
      <c r="B53" s="170">
        <f t="shared" si="12"/>
        <v>268.15</v>
      </c>
      <c r="C53" s="171">
        <f t="shared" si="10"/>
        <v>-5</v>
      </c>
      <c r="D53" s="172">
        <f t="shared" si="7"/>
        <v>23.000000000000046</v>
      </c>
      <c r="E53" s="173">
        <f t="shared" si="13"/>
        <v>420.56802345265027</v>
      </c>
      <c r="F53" s="174">
        <f t="shared" si="14"/>
        <v>0.06099823479670334</v>
      </c>
      <c r="G53" s="163">
        <f t="shared" si="15"/>
        <v>0.004149539782088663</v>
      </c>
      <c r="H53" s="65"/>
      <c r="J53" s="125"/>
      <c r="N53" s="143">
        <f t="shared" si="8"/>
        <v>-5</v>
      </c>
      <c r="O53" s="144">
        <f t="shared" si="11"/>
        <v>-20.555555555555557</v>
      </c>
      <c r="P53" s="145">
        <f t="shared" si="9"/>
        <v>252.594444444444</v>
      </c>
      <c r="Q53" s="141">
        <f t="shared" si="16"/>
        <v>119.27093556300291</v>
      </c>
      <c r="R53" s="142">
        <f t="shared" si="17"/>
        <v>0.0172987867032017</v>
      </c>
      <c r="S53" s="105">
        <f t="shared" si="18"/>
        <v>0.0011767882111021564</v>
      </c>
    </row>
    <row r="54" spans="2:19" ht="15">
      <c r="B54" s="164">
        <f t="shared" si="12"/>
        <v>269.15</v>
      </c>
      <c r="C54" s="165">
        <f t="shared" si="10"/>
        <v>-4</v>
      </c>
      <c r="D54" s="166">
        <f t="shared" si="7"/>
        <v>24.800000000000047</v>
      </c>
      <c r="E54" s="167">
        <f t="shared" si="13"/>
        <v>453.51532044328405</v>
      </c>
      <c r="F54" s="168">
        <f t="shared" si="14"/>
        <v>0.06577683622543908</v>
      </c>
      <c r="G54" s="169">
        <f t="shared" si="15"/>
        <v>0.004474614709213543</v>
      </c>
      <c r="H54" s="65"/>
      <c r="J54" s="125"/>
      <c r="N54" s="731">
        <f t="shared" si="8"/>
        <v>-4</v>
      </c>
      <c r="O54" s="732">
        <f t="shared" si="11"/>
        <v>-20</v>
      </c>
      <c r="P54" s="727">
        <f t="shared" si="9"/>
        <v>253.14999999999955</v>
      </c>
      <c r="Q54" s="733">
        <f t="shared" si="16"/>
        <v>125.13681129221654</v>
      </c>
      <c r="R54" s="734">
        <f t="shared" si="17"/>
        <v>0.018149560050355944</v>
      </c>
      <c r="S54" s="735">
        <f t="shared" si="18"/>
        <v>0.0012346639490038057</v>
      </c>
    </row>
    <row r="55" spans="2:19" ht="15">
      <c r="B55" s="170">
        <f t="shared" si="12"/>
        <v>270.15</v>
      </c>
      <c r="C55" s="171">
        <f t="shared" si="10"/>
        <v>-3</v>
      </c>
      <c r="D55" s="172">
        <f t="shared" si="7"/>
        <v>26.600000000000048</v>
      </c>
      <c r="E55" s="173">
        <f t="shared" si="13"/>
        <v>488.7362191214687</v>
      </c>
      <c r="F55" s="174">
        <f t="shared" si="14"/>
        <v>0.07088519570005017</v>
      </c>
      <c r="G55" s="163">
        <f t="shared" si="15"/>
        <v>0.004822122156465998</v>
      </c>
      <c r="H55" s="65"/>
      <c r="J55" s="125"/>
      <c r="N55" s="143">
        <f t="shared" si="8"/>
        <v>-3</v>
      </c>
      <c r="O55" s="144">
        <f t="shared" si="11"/>
        <v>-19.444444444444446</v>
      </c>
      <c r="P55" s="145">
        <f t="shared" si="9"/>
        <v>253.7055555555551</v>
      </c>
      <c r="Q55" s="141">
        <f t="shared" si="16"/>
        <v>131.26022263446484</v>
      </c>
      <c r="R55" s="142">
        <f t="shared" si="17"/>
        <v>0.01903768578027918</v>
      </c>
      <c r="S55" s="105">
        <f t="shared" si="18"/>
        <v>0.0012950806653251143</v>
      </c>
    </row>
    <row r="56" spans="2:19" ht="15">
      <c r="B56" s="164">
        <f t="shared" si="12"/>
        <v>271.15</v>
      </c>
      <c r="C56" s="165">
        <f t="shared" si="10"/>
        <v>-2</v>
      </c>
      <c r="D56" s="166">
        <f t="shared" si="7"/>
        <v>28.40000000000005</v>
      </c>
      <c r="E56" s="167">
        <f t="shared" si="13"/>
        <v>526.3651630598578</v>
      </c>
      <c r="F56" s="168">
        <f t="shared" si="14"/>
        <v>0.07634281261220292</v>
      </c>
      <c r="G56" s="169">
        <f t="shared" si="15"/>
        <v>0.005193388613075029</v>
      </c>
      <c r="H56" s="65"/>
      <c r="J56" s="125"/>
      <c r="N56" s="731">
        <f t="shared" si="8"/>
        <v>-2</v>
      </c>
      <c r="O56" s="732">
        <f t="shared" si="11"/>
        <v>-18.88888888888889</v>
      </c>
      <c r="P56" s="727">
        <f t="shared" si="9"/>
        <v>254.26111111111064</v>
      </c>
      <c r="Q56" s="733">
        <f t="shared" si="16"/>
        <v>137.6510382923353</v>
      </c>
      <c r="R56" s="734">
        <f t="shared" si="17"/>
        <v>0.019964595227271693</v>
      </c>
      <c r="S56" s="735">
        <f t="shared" si="18"/>
        <v>0.0013581357297463737</v>
      </c>
    </row>
    <row r="57" spans="2:19" ht="15">
      <c r="B57" s="775">
        <f t="shared" si="12"/>
        <v>272.15</v>
      </c>
      <c r="C57" s="776">
        <f t="shared" si="10"/>
        <v>-1</v>
      </c>
      <c r="D57" s="777">
        <f t="shared" si="7"/>
        <v>30.20000000000005</v>
      </c>
      <c r="E57" s="778">
        <f t="shared" si="13"/>
        <v>566.5431037249041</v>
      </c>
      <c r="F57" s="779">
        <f t="shared" si="14"/>
        <v>0.08217013024375946</v>
      </c>
      <c r="G57" s="780">
        <f t="shared" si="15"/>
        <v>0.005589804778487039</v>
      </c>
      <c r="H57" s="781"/>
      <c r="I57" s="781"/>
      <c r="J57" s="782"/>
      <c r="K57" s="781"/>
      <c r="N57" s="143">
        <f t="shared" si="8"/>
        <v>-1</v>
      </c>
      <c r="O57" s="144">
        <f t="shared" si="11"/>
        <v>-18.333333333333336</v>
      </c>
      <c r="P57" s="145">
        <f t="shared" si="9"/>
        <v>254.81666666666618</v>
      </c>
      <c r="Q57" s="141">
        <f t="shared" si="16"/>
        <v>144.3194455324519</v>
      </c>
      <c r="R57" s="142">
        <f t="shared" si="17"/>
        <v>0.02093176592944103</v>
      </c>
      <c r="S57" s="105">
        <f t="shared" si="18"/>
        <v>0.0014239296550640156</v>
      </c>
    </row>
    <row r="58" spans="2:19" ht="15">
      <c r="B58" s="783">
        <f t="shared" si="12"/>
        <v>273.15</v>
      </c>
      <c r="C58" s="784">
        <f t="shared" si="10"/>
        <v>0</v>
      </c>
      <c r="D58" s="785">
        <f t="shared" si="7"/>
        <v>32.00000000000005</v>
      </c>
      <c r="E58" s="786">
        <f t="shared" si="13"/>
        <v>609.417735866421</v>
      </c>
      <c r="F58" s="787">
        <f t="shared" si="14"/>
        <v>0.08838856990714718</v>
      </c>
      <c r="G58" s="788">
        <f t="shared" si="15"/>
        <v>0.0060128278848399445</v>
      </c>
      <c r="H58" s="789"/>
      <c r="I58" s="790"/>
      <c r="J58" s="176"/>
      <c r="K58" s="791"/>
      <c r="N58" s="177">
        <f t="shared" si="8"/>
        <v>0</v>
      </c>
      <c r="O58" s="178">
        <f t="shared" si="11"/>
        <v>-17.77777777777778</v>
      </c>
      <c r="P58" s="179">
        <f t="shared" si="9"/>
        <v>255.37222222222172</v>
      </c>
      <c r="Q58" s="180">
        <f t="shared" si="16"/>
        <v>151.275958306908</v>
      </c>
      <c r="R58" s="181">
        <f t="shared" si="17"/>
        <v>0.021940722806616245</v>
      </c>
      <c r="S58" s="182">
        <f t="shared" si="18"/>
        <v>0.001492566177320833</v>
      </c>
    </row>
    <row r="59" spans="2:19" ht="15">
      <c r="B59" s="170">
        <f t="shared" si="12"/>
        <v>274.15</v>
      </c>
      <c r="C59" s="171">
        <f t="shared" si="10"/>
        <v>1</v>
      </c>
      <c r="D59" s="172">
        <f t="shared" si="7"/>
        <v>33.80000000000005</v>
      </c>
      <c r="E59" s="173">
        <f t="shared" si="13"/>
        <v>655.1437377484806</v>
      </c>
      <c r="F59" s="174">
        <f t="shared" si="14"/>
        <v>0.09502056578790483</v>
      </c>
      <c r="G59" s="163">
        <f t="shared" si="15"/>
        <v>0.00646398406720441</v>
      </c>
      <c r="H59" s="183"/>
      <c r="I59" s="65"/>
      <c r="J59" s="125"/>
      <c r="K59" s="792"/>
      <c r="N59" s="185">
        <f t="shared" si="8"/>
        <v>1</v>
      </c>
      <c r="O59" s="172">
        <f t="shared" si="11"/>
        <v>-17.22222222222222</v>
      </c>
      <c r="P59" s="186">
        <f t="shared" si="9"/>
        <v>255.92777777777727</v>
      </c>
      <c r="Q59" s="161">
        <f t="shared" si="16"/>
        <v>158.5314255148082</v>
      </c>
      <c r="R59" s="162">
        <f t="shared" si="17"/>
        <v>0.022993039358583267</v>
      </c>
      <c r="S59" s="163">
        <f t="shared" si="18"/>
        <v>0.0015641523373185896</v>
      </c>
    </row>
    <row r="60" spans="2:20" ht="15">
      <c r="B60" s="164">
        <f t="shared" si="12"/>
        <v>275.15</v>
      </c>
      <c r="C60" s="165">
        <f t="shared" si="10"/>
        <v>2</v>
      </c>
      <c r="D60" s="166">
        <f t="shared" si="7"/>
        <v>35.600000000000044</v>
      </c>
      <c r="E60" s="167">
        <f t="shared" si="13"/>
        <v>703.883016181861</v>
      </c>
      <c r="F60" s="168">
        <f t="shared" si="14"/>
        <v>0.10208960048363451</v>
      </c>
      <c r="G60" s="169">
        <f t="shared" si="15"/>
        <v>0.006944870781199627</v>
      </c>
      <c r="H60" s="183"/>
      <c r="I60" s="65"/>
      <c r="J60" s="125"/>
      <c r="K60" s="792"/>
      <c r="N60" s="187">
        <f t="shared" si="8"/>
        <v>2</v>
      </c>
      <c r="O60" s="188">
        <f t="shared" si="11"/>
        <v>-16.666666666666668</v>
      </c>
      <c r="P60" s="189">
        <f t="shared" si="9"/>
        <v>256.48333333333284</v>
      </c>
      <c r="Q60" s="190">
        <f t="shared" si="16"/>
        <v>166.09703940453278</v>
      </c>
      <c r="R60" s="191">
        <f t="shared" si="17"/>
        <v>0.0240903388837303</v>
      </c>
      <c r="S60" s="192">
        <f t="shared" si="18"/>
        <v>0.0016387985635190681</v>
      </c>
      <c r="T60" s="65"/>
    </row>
    <row r="61" spans="2:19" ht="15">
      <c r="B61" s="170">
        <f t="shared" si="12"/>
        <v>276.15</v>
      </c>
      <c r="C61" s="171">
        <f t="shared" si="10"/>
        <v>3</v>
      </c>
      <c r="D61" s="172">
        <f t="shared" si="7"/>
        <v>37.40000000000004</v>
      </c>
      <c r="E61" s="173">
        <f t="shared" si="13"/>
        <v>755.8049563132581</v>
      </c>
      <c r="F61" s="174">
        <f t="shared" si="14"/>
        <v>0.10962024123286378</v>
      </c>
      <c r="G61" s="163">
        <f t="shared" si="15"/>
        <v>0.007457159267541754</v>
      </c>
      <c r="H61" s="183"/>
      <c r="I61" s="65"/>
      <c r="J61" s="125"/>
      <c r="K61" s="792"/>
      <c r="N61" s="185">
        <f t="shared" si="8"/>
        <v>3</v>
      </c>
      <c r="O61" s="172">
        <f t="shared" si="11"/>
        <v>-16.11111111111111</v>
      </c>
      <c r="P61" s="186">
        <f t="shared" si="9"/>
        <v>257.0388888888884</v>
      </c>
      <c r="Q61" s="161">
        <f t="shared" si="16"/>
        <v>173.9843441174079</v>
      </c>
      <c r="R61" s="162">
        <f t="shared" si="17"/>
        <v>0.025234295718202446</v>
      </c>
      <c r="S61" s="163">
        <f t="shared" si="18"/>
        <v>0.0017166187563403025</v>
      </c>
    </row>
    <row r="62" spans="2:19" ht="15">
      <c r="B62" s="164">
        <f t="shared" si="12"/>
        <v>277.15</v>
      </c>
      <c r="C62" s="165">
        <f t="shared" si="10"/>
        <v>4</v>
      </c>
      <c r="D62" s="166">
        <f t="shared" si="7"/>
        <v>39.20000000000004</v>
      </c>
      <c r="E62" s="167">
        <f t="shared" si="13"/>
        <v>811.0866761209496</v>
      </c>
      <c r="F62" s="168">
        <f t="shared" si="14"/>
        <v>0.11763817682652114</v>
      </c>
      <c r="G62" s="169">
        <f t="shared" si="15"/>
        <v>0.00800259706302865</v>
      </c>
      <c r="H62" s="183"/>
      <c r="I62" s="65"/>
      <c r="J62" s="125"/>
      <c r="K62" s="792"/>
      <c r="N62" s="187">
        <f t="shared" si="8"/>
        <v>4</v>
      </c>
      <c r="O62" s="188">
        <f t="shared" si="11"/>
        <v>-15.555555555555557</v>
      </c>
      <c r="P62" s="189">
        <f t="shared" si="9"/>
        <v>257.5944444444439</v>
      </c>
      <c r="Q62" s="190">
        <f t="shared" si="16"/>
        <v>182.20524437341058</v>
      </c>
      <c r="R62" s="191">
        <f t="shared" si="17"/>
        <v>0.026426636495656696</v>
      </c>
      <c r="S62" s="192">
        <f t="shared" si="18"/>
        <v>0.0017977303738541972</v>
      </c>
    </row>
    <row r="63" spans="2:19" ht="15">
      <c r="B63" s="170">
        <f t="shared" si="12"/>
        <v>278.15</v>
      </c>
      <c r="C63" s="171">
        <f t="shared" si="10"/>
        <v>5</v>
      </c>
      <c r="D63" s="172">
        <f t="shared" si="7"/>
        <v>41.000000000000036</v>
      </c>
      <c r="E63" s="173">
        <f t="shared" si="13"/>
        <v>869.9132855619864</v>
      </c>
      <c r="F63" s="174">
        <f t="shared" si="14"/>
        <v>0.12617025519405856</v>
      </c>
      <c r="G63" s="163">
        <f t="shared" si="15"/>
        <v>0.00858301055741895</v>
      </c>
      <c r="H63" s="183"/>
      <c r="I63" s="65"/>
      <c r="J63" s="125"/>
      <c r="K63" s="792"/>
      <c r="N63" s="185">
        <f t="shared" si="8"/>
        <v>5</v>
      </c>
      <c r="O63" s="172">
        <f t="shared" si="11"/>
        <v>-15</v>
      </c>
      <c r="P63" s="186">
        <f t="shared" si="9"/>
        <v>258.14999999999947</v>
      </c>
      <c r="Q63" s="161">
        <f t="shared" si="16"/>
        <v>190.772014299421</v>
      </c>
      <c r="R63" s="162">
        <f t="shared" si="17"/>
        <v>0.027669141427691675</v>
      </c>
      <c r="S63" s="163">
        <f t="shared" si="18"/>
        <v>0.0018822545188905903</v>
      </c>
    </row>
    <row r="64" spans="2:19" ht="15">
      <c r="B64" s="164">
        <f t="shared" si="12"/>
        <v>279.15</v>
      </c>
      <c r="C64" s="165">
        <f t="shared" si="10"/>
        <v>6</v>
      </c>
      <c r="D64" s="166">
        <f t="shared" si="7"/>
        <v>42.80000000000003</v>
      </c>
      <c r="E64" s="167">
        <f t="shared" si="13"/>
        <v>932.4781503104233</v>
      </c>
      <c r="F64" s="168">
        <f t="shared" si="14"/>
        <v>0.13524452165544779</v>
      </c>
      <c r="G64" s="169">
        <f t="shared" si="15"/>
        <v>0.009200307595608694</v>
      </c>
      <c r="H64" s="183"/>
      <c r="I64" s="65"/>
      <c r="J64" s="125"/>
      <c r="K64" s="792"/>
      <c r="N64" s="187">
        <f t="shared" si="8"/>
        <v>6</v>
      </c>
      <c r="O64" s="188">
        <f t="shared" si="11"/>
        <v>-14.444444444444445</v>
      </c>
      <c r="P64" s="189">
        <f t="shared" si="9"/>
        <v>258.705555555555</v>
      </c>
      <c r="Q64" s="190">
        <f t="shared" si="16"/>
        <v>199.6973064006194</v>
      </c>
      <c r="R64" s="191">
        <f t="shared" si="17"/>
        <v>0.02896364560503876</v>
      </c>
      <c r="S64" s="192">
        <f t="shared" si="18"/>
        <v>0.001970316027553657</v>
      </c>
    </row>
    <row r="65" spans="2:19" ht="15">
      <c r="B65" s="170">
        <f t="shared" si="12"/>
        <v>280.15</v>
      </c>
      <c r="C65" s="171">
        <f t="shared" si="10"/>
        <v>7</v>
      </c>
      <c r="D65" s="172">
        <f t="shared" si="7"/>
        <v>44.60000000000003</v>
      </c>
      <c r="E65" s="173">
        <f t="shared" si="13"/>
        <v>998.9831600210288</v>
      </c>
      <c r="F65" s="174">
        <f t="shared" si="14"/>
        <v>0.14489025782954204</v>
      </c>
      <c r="G65" s="163">
        <f t="shared" si="15"/>
        <v>0.009856480124458642</v>
      </c>
      <c r="H65" s="183"/>
      <c r="I65" s="65"/>
      <c r="J65" s="125"/>
      <c r="K65" s="792"/>
      <c r="N65" s="185">
        <f t="shared" si="8"/>
        <v>7</v>
      </c>
      <c r="O65" s="172">
        <f t="shared" si="11"/>
        <v>-13.88888888888889</v>
      </c>
      <c r="P65" s="186">
        <f t="shared" si="9"/>
        <v>259.26111111111055</v>
      </c>
      <c r="Q65" s="161">
        <f t="shared" si="16"/>
        <v>208.99416067545522</v>
      </c>
      <c r="R65" s="162">
        <f t="shared" si="17"/>
        <v>0.030312040319576575</v>
      </c>
      <c r="S65" s="163">
        <f t="shared" si="18"/>
        <v>0.002062043559154869</v>
      </c>
    </row>
    <row r="66" spans="2:19" ht="15">
      <c r="B66" s="164">
        <f t="shared" si="12"/>
        <v>281.15</v>
      </c>
      <c r="C66" s="165">
        <f t="shared" si="10"/>
        <v>8</v>
      </c>
      <c r="D66" s="166">
        <f t="shared" si="7"/>
        <v>46.40000000000003</v>
      </c>
      <c r="E66" s="167">
        <f t="shared" si="13"/>
        <v>1069.6390010481693</v>
      </c>
      <c r="F66" s="168">
        <f t="shared" si="14"/>
        <v>0.1551380211886061</v>
      </c>
      <c r="G66" s="169">
        <f t="shared" si="15"/>
        <v>0.010553606883578646</v>
      </c>
      <c r="H66" s="183"/>
      <c r="I66" s="65"/>
      <c r="J66" s="125"/>
      <c r="K66" s="792"/>
      <c r="N66" s="187">
        <f t="shared" si="8"/>
        <v>8</v>
      </c>
      <c r="O66" s="188">
        <f t="shared" si="11"/>
        <v>-13.333333333333334</v>
      </c>
      <c r="P66" s="189">
        <f t="shared" si="9"/>
        <v>259.8166666666661</v>
      </c>
      <c r="Q66" s="190">
        <f t="shared" si="16"/>
        <v>218.6760138747202</v>
      </c>
      <c r="R66" s="191">
        <f t="shared" si="17"/>
        <v>0.03171627440724603</v>
      </c>
      <c r="S66" s="192">
        <f t="shared" si="18"/>
        <v>0.0021575696875677573</v>
      </c>
    </row>
    <row r="67" spans="2:19" ht="15">
      <c r="B67" s="170">
        <f t="shared" si="12"/>
        <v>282.15</v>
      </c>
      <c r="C67" s="171">
        <f t="shared" si="10"/>
        <v>9</v>
      </c>
      <c r="D67" s="172">
        <f t="shared" si="7"/>
        <v>48.200000000000024</v>
      </c>
      <c r="E67" s="173">
        <f t="shared" si="13"/>
        <v>1144.6654335441779</v>
      </c>
      <c r="F67" s="174">
        <f t="shared" si="14"/>
        <v>0.16601968524803687</v>
      </c>
      <c r="G67" s="163">
        <f t="shared" si="15"/>
        <v>0.011293856139322236</v>
      </c>
      <c r="H67" s="183"/>
      <c r="I67" s="65"/>
      <c r="J67" s="125"/>
      <c r="K67" s="792"/>
      <c r="N67" s="185">
        <f t="shared" si="8"/>
        <v>9</v>
      </c>
      <c r="O67" s="172">
        <f t="shared" si="11"/>
        <v>-12.777777777777779</v>
      </c>
      <c r="P67" s="186">
        <f t="shared" si="9"/>
        <v>260.37222222222164</v>
      </c>
      <c r="Q67" s="161">
        <f t="shared" si="16"/>
        <v>228.75670890507828</v>
      </c>
      <c r="R67" s="162">
        <f t="shared" si="17"/>
        <v>0.03317835561191701</v>
      </c>
      <c r="S67" s="163">
        <f t="shared" si="18"/>
        <v>0.00225703099400796</v>
      </c>
    </row>
    <row r="68" spans="2:19" ht="15">
      <c r="B68" s="164">
        <f t="shared" si="12"/>
        <v>283.15</v>
      </c>
      <c r="C68" s="165">
        <f t="shared" si="10"/>
        <v>10</v>
      </c>
      <c r="D68" s="166">
        <f t="shared" si="7"/>
        <v>50.00000000000002</v>
      </c>
      <c r="E68" s="167">
        <f t="shared" si="13"/>
        <v>1224.2915728566036</v>
      </c>
      <c r="F68" s="168">
        <f t="shared" si="14"/>
        <v>0.17756848037958398</v>
      </c>
      <c r="G68" s="169">
        <f t="shared" si="15"/>
        <v>0.01207948846119619</v>
      </c>
      <c r="H68" s="183"/>
      <c r="I68" s="65"/>
      <c r="J68" s="125"/>
      <c r="K68" s="792"/>
      <c r="N68" s="187">
        <f t="shared" si="8"/>
        <v>10</v>
      </c>
      <c r="O68" s="188">
        <f t="shared" si="11"/>
        <v>-12.222222222222223</v>
      </c>
      <c r="P68" s="189">
        <f t="shared" si="9"/>
        <v>260.9277777777772</v>
      </c>
      <c r="Q68" s="190">
        <f t="shared" si="16"/>
        <v>239.25050437743434</v>
      </c>
      <c r="R68" s="191">
        <f t="shared" si="17"/>
        <v>0.034700351970262173</v>
      </c>
      <c r="S68" s="192">
        <f t="shared" si="18"/>
        <v>0.002360568161242325</v>
      </c>
    </row>
    <row r="69" spans="2:19" ht="15">
      <c r="B69" s="170">
        <f t="shared" si="12"/>
        <v>284.15</v>
      </c>
      <c r="C69" s="171">
        <f t="shared" si="10"/>
        <v>11</v>
      </c>
      <c r="D69" s="172">
        <f t="shared" si="7"/>
        <v>51.80000000000002</v>
      </c>
      <c r="E69" s="173">
        <f t="shared" si="13"/>
        <v>1308.7561751391206</v>
      </c>
      <c r="F69" s="174">
        <f t="shared" si="14"/>
        <v>0.1898190352357099</v>
      </c>
      <c r="G69" s="163">
        <f t="shared" si="15"/>
        <v>0.012912859539844211</v>
      </c>
      <c r="H69" s="183"/>
      <c r="I69" s="65"/>
      <c r="J69" s="125"/>
      <c r="K69" s="792"/>
      <c r="N69" s="185">
        <f t="shared" si="8"/>
        <v>11</v>
      </c>
      <c r="O69" s="172">
        <f t="shared" si="11"/>
        <v>-11.666666666666668</v>
      </c>
      <c r="P69" s="186">
        <f t="shared" si="9"/>
        <v>261.4833333333327</v>
      </c>
      <c r="Q69" s="161">
        <f t="shared" si="16"/>
        <v>250.17208430053296</v>
      </c>
      <c r="R69" s="162">
        <f t="shared" si="17"/>
        <v>0.03628439321769461</v>
      </c>
      <c r="S69" s="163">
        <f t="shared" si="18"/>
        <v>0.002468326069230926</v>
      </c>
    </row>
    <row r="70" spans="2:19" ht="15">
      <c r="B70" s="164">
        <f t="shared" si="12"/>
        <v>285.15</v>
      </c>
      <c r="C70" s="165">
        <f t="shared" si="10"/>
        <v>12</v>
      </c>
      <c r="D70" s="166">
        <f t="shared" si="7"/>
        <v>53.600000000000016</v>
      </c>
      <c r="E70" s="167">
        <f t="shared" si="13"/>
        <v>1398.3079270856979</v>
      </c>
      <c r="F70" s="168">
        <f t="shared" si="14"/>
        <v>0.20280741877197855</v>
      </c>
      <c r="G70" s="169">
        <f t="shared" si="15"/>
        <v>0.013796423045712828</v>
      </c>
      <c r="H70" s="183"/>
      <c r="I70" s="65"/>
      <c r="J70" s="125"/>
      <c r="K70" s="792"/>
      <c r="N70" s="187">
        <f t="shared" si="8"/>
        <v>12</v>
      </c>
      <c r="O70" s="188">
        <f t="shared" si="11"/>
        <v>-11.11111111111111</v>
      </c>
      <c r="P70" s="189">
        <f t="shared" si="9"/>
        <v>262.03888888888827</v>
      </c>
      <c r="Q70" s="190">
        <f t="shared" si="16"/>
        <v>261.53656791996605</v>
      </c>
      <c r="R70" s="191">
        <f t="shared" si="17"/>
        <v>0.03793267221539524</v>
      </c>
      <c r="S70" s="192">
        <f t="shared" si="18"/>
        <v>0.002580453892203758</v>
      </c>
    </row>
    <row r="71" spans="2:19" ht="15">
      <c r="B71" s="170">
        <f t="shared" si="12"/>
        <v>286.15</v>
      </c>
      <c r="C71" s="171">
        <f t="shared" si="10"/>
        <v>13</v>
      </c>
      <c r="D71" s="172">
        <f t="shared" si="7"/>
        <v>55.40000000000001</v>
      </c>
      <c r="E71" s="173">
        <f t="shared" si="13"/>
        <v>1493.2057396927576</v>
      </c>
      <c r="F71" s="174">
        <f t="shared" si="14"/>
        <v>0.21657118285365437</v>
      </c>
      <c r="G71" s="163">
        <f t="shared" si="15"/>
        <v>0.014732733527459482</v>
      </c>
      <c r="H71" s="183"/>
      <c r="I71" s="65"/>
      <c r="J71" s="125"/>
      <c r="K71" s="792"/>
      <c r="N71" s="185">
        <f t="shared" si="8"/>
        <v>13</v>
      </c>
      <c r="O71" s="172">
        <f t="shared" si="11"/>
        <v>-10.555555555555555</v>
      </c>
      <c r="P71" s="186">
        <f t="shared" si="9"/>
        <v>262.5944444444438</v>
      </c>
      <c r="Q71" s="161">
        <f t="shared" si="16"/>
        <v>273.3595197029549</v>
      </c>
      <c r="R71" s="162">
        <f t="shared" si="17"/>
        <v>0.03964744639848301</v>
      </c>
      <c r="S71" s="163">
        <f t="shared" si="18"/>
        <v>0.0026971051971757154</v>
      </c>
    </row>
    <row r="72" spans="2:19" ht="15">
      <c r="B72" s="742">
        <f t="shared" si="12"/>
        <v>287.15</v>
      </c>
      <c r="C72" s="743">
        <f t="shared" si="10"/>
        <v>14</v>
      </c>
      <c r="D72" s="744">
        <f t="shared" si="7"/>
        <v>57.20000000000001</v>
      </c>
      <c r="E72" s="745">
        <f aca="true" t="shared" si="19" ref="E72:E103">(D$195^(D$196+(D$197*B72)-(D$198/B72)))/(B72^8.2)</f>
        <v>1593.7190459500907</v>
      </c>
      <c r="F72" s="746">
        <f t="shared" si="14"/>
        <v>0.2311494054321192</v>
      </c>
      <c r="G72" s="747">
        <f t="shared" si="15"/>
        <v>0.015724449349123756</v>
      </c>
      <c r="H72" s="748"/>
      <c r="I72" s="749"/>
      <c r="J72" s="125"/>
      <c r="K72" s="792"/>
      <c r="L72" s="65"/>
      <c r="N72" s="187">
        <f t="shared" si="8"/>
        <v>14</v>
      </c>
      <c r="O72" s="188">
        <f t="shared" si="11"/>
        <v>-10</v>
      </c>
      <c r="P72" s="189">
        <f t="shared" si="9"/>
        <v>263.14999999999935</v>
      </c>
      <c r="Q72" s="190">
        <f t="shared" si="16"/>
        <v>285.65695946907033</v>
      </c>
      <c r="R72" s="191">
        <f t="shared" si="17"/>
        <v>0.04143103924535164</v>
      </c>
      <c r="S72" s="192">
        <f t="shared" si="18"/>
        <v>0.0028184380439014722</v>
      </c>
    </row>
    <row r="73" spans="2:19" ht="15">
      <c r="B73" s="750">
        <f t="shared" si="12"/>
        <v>288.15</v>
      </c>
      <c r="C73" s="751">
        <f t="shared" si="10"/>
        <v>15</v>
      </c>
      <c r="D73" s="752">
        <f t="shared" si="7"/>
        <v>59.00000000000001</v>
      </c>
      <c r="E73" s="753">
        <f t="shared" si="19"/>
        <v>1700.1281023555496</v>
      </c>
      <c r="F73" s="754">
        <f t="shared" si="14"/>
        <v>0.24658273427588137</v>
      </c>
      <c r="G73" s="755">
        <f t="shared" si="15"/>
        <v>0.016774335665025945</v>
      </c>
      <c r="H73" s="756"/>
      <c r="I73" s="757"/>
      <c r="J73" s="125"/>
      <c r="K73" s="792"/>
      <c r="N73" s="185">
        <f t="shared" si="8"/>
        <v>15</v>
      </c>
      <c r="O73" s="172">
        <f t="shared" si="11"/>
        <v>-9.444444444444445</v>
      </c>
      <c r="P73" s="186">
        <f t="shared" si="9"/>
        <v>263.7055555555549</v>
      </c>
      <c r="Q73" s="161">
        <f t="shared" si="16"/>
        <v>298.4453726670031</v>
      </c>
      <c r="R73" s="162">
        <f t="shared" si="17"/>
        <v>0.04328584176818915</v>
      </c>
      <c r="S73" s="163">
        <f t="shared" si="18"/>
        <v>0.002944615086271371</v>
      </c>
    </row>
    <row r="74" spans="2:19" ht="15">
      <c r="B74" s="164">
        <f t="shared" si="12"/>
        <v>289.15</v>
      </c>
      <c r="C74" s="165">
        <f t="shared" si="10"/>
        <v>16</v>
      </c>
      <c r="D74" s="166">
        <f t="shared" si="7"/>
        <v>60.800000000000004</v>
      </c>
      <c r="E74" s="167">
        <f t="shared" si="19"/>
        <v>1812.7242941450775</v>
      </c>
      <c r="F74" s="168">
        <f t="shared" si="14"/>
        <v>0.2629134312404487</v>
      </c>
      <c r="G74" s="169">
        <f t="shared" si="15"/>
        <v>0.01788526743132304</v>
      </c>
      <c r="H74" s="183"/>
      <c r="I74" s="758"/>
      <c r="J74" s="125"/>
      <c r="K74" s="792"/>
      <c r="N74" s="187">
        <f t="shared" si="8"/>
        <v>16</v>
      </c>
      <c r="O74" s="188">
        <f t="shared" si="11"/>
        <v>-8.88888888888889</v>
      </c>
      <c r="P74" s="189">
        <f t="shared" si="9"/>
        <v>264.26111111111044</v>
      </c>
      <c r="Q74" s="190">
        <f t="shared" si="16"/>
        <v>311.7417207975807</v>
      </c>
      <c r="R74" s="191">
        <f t="shared" si="17"/>
        <v>0.04521431402470866</v>
      </c>
      <c r="S74" s="192">
        <f t="shared" si="18"/>
        <v>0.003075803675150249</v>
      </c>
    </row>
    <row r="75" spans="2:19" ht="15">
      <c r="B75" s="170">
        <f t="shared" si="12"/>
        <v>290.15</v>
      </c>
      <c r="C75" s="171">
        <f t="shared" si="10"/>
        <v>17</v>
      </c>
      <c r="D75" s="172">
        <f t="shared" si="7"/>
        <v>62.6</v>
      </c>
      <c r="E75" s="173">
        <f t="shared" si="19"/>
        <v>1931.810444124463</v>
      </c>
      <c r="F75" s="174">
        <f t="shared" si="14"/>
        <v>0.28018541706058747</v>
      </c>
      <c r="G75" s="163">
        <f t="shared" si="15"/>
        <v>0.01906023245310119</v>
      </c>
      <c r="H75" s="183"/>
      <c r="I75" s="758"/>
      <c r="J75" s="125"/>
      <c r="K75" s="792"/>
      <c r="N75" s="185">
        <f t="shared" si="8"/>
        <v>17</v>
      </c>
      <c r="O75" s="172">
        <f t="shared" si="11"/>
        <v>-8.333333333333334</v>
      </c>
      <c r="P75" s="186">
        <f t="shared" si="9"/>
        <v>264.816666666666</v>
      </c>
      <c r="Q75" s="161">
        <f t="shared" si="16"/>
        <v>325.56345198307616</v>
      </c>
      <c r="R75" s="162">
        <f t="shared" si="17"/>
        <v>0.04721898665109698</v>
      </c>
      <c r="S75" s="163">
        <f t="shared" si="18"/>
        <v>0.0032121759626596584</v>
      </c>
    </row>
    <row r="76" spans="2:19" ht="15">
      <c r="B76" s="164">
        <f t="shared" si="12"/>
        <v>291.15</v>
      </c>
      <c r="C76" s="165">
        <f t="shared" si="10"/>
        <v>18</v>
      </c>
      <c r="D76" s="166">
        <f t="shared" si="7"/>
        <v>64.4</v>
      </c>
      <c r="E76" s="167">
        <f t="shared" si="19"/>
        <v>2057.7011249857014</v>
      </c>
      <c r="F76" s="168">
        <f t="shared" si="14"/>
        <v>0.2984443166479814</v>
      </c>
      <c r="G76" s="169">
        <f t="shared" si="15"/>
        <v>0.020302334465849073</v>
      </c>
      <c r="H76" s="183"/>
      <c r="I76" s="758"/>
      <c r="J76" s="125"/>
      <c r="K76" s="792"/>
      <c r="N76" s="187">
        <f t="shared" si="8"/>
        <v>18</v>
      </c>
      <c r="O76" s="188">
        <f t="shared" si="11"/>
        <v>-7.777777777777779</v>
      </c>
      <c r="P76" s="189">
        <f t="shared" si="9"/>
        <v>265.3722222222215</v>
      </c>
      <c r="Q76" s="190">
        <f t="shared" si="16"/>
        <v>339.9285116828163</v>
      </c>
      <c r="R76" s="191">
        <f t="shared" si="17"/>
        <v>0.04930246241618225</v>
      </c>
      <c r="S76" s="192">
        <f t="shared" si="18"/>
        <v>0.0033539090079035545</v>
      </c>
    </row>
    <row r="77" spans="2:19" ht="15">
      <c r="B77" s="170">
        <f t="shared" si="12"/>
        <v>292.15</v>
      </c>
      <c r="C77" s="171">
        <f t="shared" si="10"/>
        <v>19</v>
      </c>
      <c r="D77" s="172">
        <f t="shared" si="7"/>
        <v>66.2</v>
      </c>
      <c r="E77" s="173">
        <f t="shared" si="19"/>
        <v>2190.7229749852513</v>
      </c>
      <c r="F77" s="174">
        <f t="shared" si="14"/>
        <v>0.31773750487649144</v>
      </c>
      <c r="G77" s="163">
        <f t="shared" si="15"/>
        <v>0.02161479625010146</v>
      </c>
      <c r="H77" s="183"/>
      <c r="I77" s="758"/>
      <c r="J77" s="125"/>
      <c r="K77" s="792"/>
      <c r="N77" s="185">
        <f t="shared" si="8"/>
        <v>19</v>
      </c>
      <c r="O77" s="172">
        <f t="shared" si="11"/>
        <v>-7.222222222222222</v>
      </c>
      <c r="P77" s="186">
        <f t="shared" si="9"/>
        <v>265.92777777777707</v>
      </c>
      <c r="Q77" s="161">
        <f t="shared" si="16"/>
        <v>354.85535355516697</v>
      </c>
      <c r="R77" s="162">
        <f t="shared" si="17"/>
        <v>0.05146741779683167</v>
      </c>
      <c r="S77" s="163">
        <f t="shared" si="18"/>
        <v>0.0035011848841382093</v>
      </c>
    </row>
    <row r="78" spans="2:19" ht="15">
      <c r="B78" s="164">
        <f t="shared" si="12"/>
        <v>293.15</v>
      </c>
      <c r="C78" s="165">
        <f t="shared" si="10"/>
        <v>20</v>
      </c>
      <c r="D78" s="166">
        <f t="shared" si="7"/>
        <v>68</v>
      </c>
      <c r="E78" s="167">
        <f t="shared" si="19"/>
        <v>2331.2150168593957</v>
      </c>
      <c r="F78" s="168">
        <f t="shared" si="14"/>
        <v>0.3381141528369186</v>
      </c>
      <c r="G78" s="169">
        <f t="shared" si="15"/>
        <v>0.023000962778021675</v>
      </c>
      <c r="H78" s="183"/>
      <c r="I78" s="758"/>
      <c r="J78" s="125"/>
      <c r="K78" s="792"/>
      <c r="N78" s="187">
        <f t="shared" si="8"/>
        <v>20</v>
      </c>
      <c r="O78" s="188">
        <f t="shared" si="11"/>
        <v>-6.666666666666667</v>
      </c>
      <c r="P78" s="189">
        <f t="shared" si="9"/>
        <v>266.4833333333326</v>
      </c>
      <c r="Q78" s="190">
        <f t="shared" si="16"/>
        <v>370.3629504656548</v>
      </c>
      <c r="R78" s="191">
        <f t="shared" si="17"/>
        <v>0.05371660457454462</v>
      </c>
      <c r="S78" s="192">
        <f t="shared" si="18"/>
        <v>0.003654190787383988</v>
      </c>
    </row>
    <row r="79" spans="2:19" ht="15">
      <c r="B79" s="170">
        <f t="shared" si="12"/>
        <v>294.15</v>
      </c>
      <c r="C79" s="171">
        <f t="shared" si="10"/>
        <v>21</v>
      </c>
      <c r="D79" s="172">
        <f t="shared" si="7"/>
        <v>69.8</v>
      </c>
      <c r="E79" s="173">
        <f t="shared" si="19"/>
        <v>2479.5289798459</v>
      </c>
      <c r="F79" s="174">
        <f t="shared" si="14"/>
        <v>0.35962527454229687</v>
      </c>
      <c r="G79" s="163">
        <f t="shared" si="15"/>
        <v>0.024464304390632442</v>
      </c>
      <c r="H79" s="183"/>
      <c r="I79" s="758"/>
      <c r="J79" s="125"/>
      <c r="K79" s="792"/>
      <c r="N79" s="185">
        <f t="shared" si="8"/>
        <v>21</v>
      </c>
      <c r="O79" s="172">
        <f t="shared" si="11"/>
        <v>-6.111111111111112</v>
      </c>
      <c r="P79" s="186">
        <f t="shared" si="9"/>
        <v>267.03888888888815</v>
      </c>
      <c r="Q79" s="161">
        <f t="shared" si="16"/>
        <v>386.47080564138815</v>
      </c>
      <c r="R79" s="162">
        <f t="shared" si="17"/>
        <v>0.05605285145326457</v>
      </c>
      <c r="S79" s="163">
        <f t="shared" si="18"/>
        <v>0.0038131191464805835</v>
      </c>
    </row>
    <row r="80" spans="2:19" ht="15">
      <c r="B80" s="164">
        <f t="shared" si="12"/>
        <v>295.15</v>
      </c>
      <c r="C80" s="165">
        <f t="shared" si="10"/>
        <v>22</v>
      </c>
      <c r="D80" s="166">
        <f t="shared" si="7"/>
        <v>71.6</v>
      </c>
      <c r="E80" s="167">
        <f t="shared" si="19"/>
        <v>2636.0296246790026</v>
      </c>
      <c r="F80" s="168">
        <f t="shared" si="14"/>
        <v>0.3823237740644315</v>
      </c>
      <c r="G80" s="169">
        <f t="shared" si="15"/>
        <v>0.0260084200043831</v>
      </c>
      <c r="H80" s="183"/>
      <c r="I80" s="758"/>
      <c r="J80" s="125"/>
      <c r="K80" s="792"/>
      <c r="N80" s="187">
        <f t="shared" si="8"/>
        <v>22</v>
      </c>
      <c r="O80" s="188">
        <f t="shared" si="11"/>
        <v>-5.555555555555555</v>
      </c>
      <c r="P80" s="189">
        <f t="shared" si="9"/>
        <v>267.5944444444437</v>
      </c>
      <c r="Q80" s="190">
        <f t="shared" si="16"/>
        <v>403.1989639713558</v>
      </c>
      <c r="R80" s="191">
        <f t="shared" si="17"/>
        <v>0.05847906569834894</v>
      </c>
      <c r="S80" s="192">
        <f t="shared" si="18"/>
        <v>0.003978167734581561</v>
      </c>
    </row>
    <row r="81" spans="2:19" ht="15">
      <c r="B81" s="170">
        <f t="shared" si="12"/>
        <v>296.15</v>
      </c>
      <c r="C81" s="171">
        <f t="shared" si="10"/>
        <v>23</v>
      </c>
      <c r="D81" s="172">
        <f t="shared" si="7"/>
        <v>73.39999999999999</v>
      </c>
      <c r="E81" s="173">
        <f t="shared" si="19"/>
        <v>2801.095071419573</v>
      </c>
      <c r="F81" s="174">
        <f t="shared" si="14"/>
        <v>0.40626449308164325</v>
      </c>
      <c r="G81" s="163">
        <f t="shared" si="15"/>
        <v>0.02763704034569002</v>
      </c>
      <c r="H81" s="183"/>
      <c r="I81" s="758"/>
      <c r="J81" s="125"/>
      <c r="K81" s="792"/>
      <c r="N81" s="185">
        <f t="shared" si="8"/>
        <v>23</v>
      </c>
      <c r="O81" s="172">
        <f t="shared" si="11"/>
        <v>-5</v>
      </c>
      <c r="P81" s="186">
        <f t="shared" si="9"/>
        <v>268.14999999999924</v>
      </c>
      <c r="Q81" s="161">
        <f t="shared" si="16"/>
        <v>420.56802345262633</v>
      </c>
      <c r="R81" s="162">
        <f t="shared" si="17"/>
        <v>0.06099823479669987</v>
      </c>
      <c r="S81" s="163">
        <f t="shared" si="18"/>
        <v>0.004149539782088427</v>
      </c>
    </row>
    <row r="82" spans="2:19" ht="15">
      <c r="B82" s="164">
        <f t="shared" si="12"/>
        <v>297.15</v>
      </c>
      <c r="C82" s="165">
        <f t="shared" si="10"/>
        <v>24</v>
      </c>
      <c r="D82" s="166">
        <f t="shared" si="7"/>
        <v>75.19999999999999</v>
      </c>
      <c r="E82" s="167">
        <f t="shared" si="19"/>
        <v>2975.1171299801654</v>
      </c>
      <c r="F82" s="168">
        <f aca="true" t="shared" si="20" ref="F82:F110">E82*E$190</f>
        <v>0.43150425881737514</v>
      </c>
      <c r="G82" s="169">
        <f aca="true" t="shared" si="21" ref="G82:G110">F82/E$189</f>
        <v>0.029354031212066336</v>
      </c>
      <c r="H82" s="183"/>
      <c r="I82" s="758"/>
      <c r="J82" s="125"/>
      <c r="K82" s="792"/>
      <c r="N82" s="187">
        <f t="shared" si="8"/>
        <v>24</v>
      </c>
      <c r="O82" s="188">
        <f t="shared" si="11"/>
        <v>-4.444444444444445</v>
      </c>
      <c r="P82" s="189">
        <f t="shared" si="9"/>
        <v>268.7055555555548</v>
      </c>
      <c r="Q82" s="190">
        <f aca="true" t="shared" si="22" ref="Q82:Q113">(D$195^(D$196+(D$197*P82)-(D$198/P82))/P82^8.2)</f>
        <v>438.5991467820893</v>
      </c>
      <c r="R82" s="191">
        <f aca="true" t="shared" si="23" ref="R82:R113">Q82*E$190</f>
        <v>0.0636134281380042</v>
      </c>
      <c r="S82" s="192">
        <f aca="true" t="shared" si="24" ref="S82:S113">R82/E$189</f>
        <v>0.004327444091020694</v>
      </c>
    </row>
    <row r="83" spans="2:19" ht="15">
      <c r="B83" s="170">
        <f t="shared" si="12"/>
        <v>298.15</v>
      </c>
      <c r="C83" s="171">
        <f t="shared" si="10"/>
        <v>25</v>
      </c>
      <c r="D83" s="172">
        <f t="shared" si="7"/>
        <v>76.99999999999999</v>
      </c>
      <c r="E83" s="173">
        <f t="shared" si="19"/>
        <v>3158.501633200351</v>
      </c>
      <c r="F83" s="174">
        <f t="shared" si="20"/>
        <v>0.45810193234868457</v>
      </c>
      <c r="G83" s="163">
        <f t="shared" si="21"/>
        <v>0.031163396758413918</v>
      </c>
      <c r="H83" s="183"/>
      <c r="I83" s="758"/>
      <c r="J83" s="125"/>
      <c r="K83" s="792"/>
      <c r="N83" s="185">
        <f t="shared" si="8"/>
        <v>25</v>
      </c>
      <c r="O83" s="172">
        <f t="shared" si="11"/>
        <v>-3.8888888888888893</v>
      </c>
      <c r="P83" s="186">
        <f t="shared" si="9"/>
        <v>269.2611111111103</v>
      </c>
      <c r="Q83" s="161">
        <f t="shared" si="22"/>
        <v>457.31407309345934</v>
      </c>
      <c r="R83" s="162">
        <f t="shared" si="23"/>
        <v>0.066327798717042</v>
      </c>
      <c r="S83" s="163">
        <f t="shared" si="24"/>
        <v>0.004512095150819184</v>
      </c>
    </row>
    <row r="84" spans="2:19" ht="15">
      <c r="B84" s="164">
        <f t="shared" si="12"/>
        <v>299.15</v>
      </c>
      <c r="C84" s="165">
        <f t="shared" si="10"/>
        <v>26</v>
      </c>
      <c r="D84" s="166">
        <f aca="true" t="shared" si="25" ref="D84:D110">D83+9/5</f>
        <v>78.79999999999998</v>
      </c>
      <c r="E84" s="167">
        <f t="shared" si="19"/>
        <v>3351.668772324198</v>
      </c>
      <c r="F84" s="168">
        <f t="shared" si="20"/>
        <v>0.4861184572631387</v>
      </c>
      <c r="G84" s="169">
        <f t="shared" si="21"/>
        <v>0.03306928280701624</v>
      </c>
      <c r="H84" s="183"/>
      <c r="I84" s="758"/>
      <c r="J84" s="125"/>
      <c r="K84" s="792"/>
      <c r="N84" s="187">
        <f aca="true" t="shared" si="26" ref="N84:N147">N83+1</f>
        <v>26</v>
      </c>
      <c r="O84" s="188">
        <f t="shared" si="11"/>
        <v>-3.3333333333333335</v>
      </c>
      <c r="P84" s="189">
        <f aca="true" t="shared" si="27" ref="P84:P122">P83+5/9</f>
        <v>269.81666666666587</v>
      </c>
      <c r="Q84" s="190">
        <f t="shared" si="22"/>
        <v>476.7351298393165</v>
      </c>
      <c r="R84" s="191">
        <f t="shared" si="23"/>
        <v>0.06914458485703077</v>
      </c>
      <c r="S84" s="192">
        <f t="shared" si="24"/>
        <v>0.004703713255580325</v>
      </c>
    </row>
    <row r="85" spans="2:19" ht="15">
      <c r="B85" s="170">
        <f t="shared" si="12"/>
        <v>300.15</v>
      </c>
      <c r="C85" s="171">
        <f t="shared" si="10"/>
        <v>27</v>
      </c>
      <c r="D85" s="172">
        <f t="shared" si="25"/>
        <v>80.59999999999998</v>
      </c>
      <c r="E85" s="173">
        <f t="shared" si="19"/>
        <v>3555.053434729735</v>
      </c>
      <c r="F85" s="174">
        <f t="shared" si="20"/>
        <v>0.5156169086423313</v>
      </c>
      <c r="G85" s="163">
        <f t="shared" si="21"/>
        <v>0.035075980179750436</v>
      </c>
      <c r="H85" s="183"/>
      <c r="I85" s="758"/>
      <c r="J85" s="125"/>
      <c r="K85" s="792"/>
      <c r="N85" s="185">
        <f t="shared" si="26"/>
        <v>27</v>
      </c>
      <c r="O85" s="172">
        <f t="shared" si="11"/>
        <v>-2.7777777777777777</v>
      </c>
      <c r="P85" s="186">
        <f t="shared" si="27"/>
        <v>270.3722222222214</v>
      </c>
      <c r="Q85" s="161">
        <f t="shared" si="22"/>
        <v>496.88524481763335</v>
      </c>
      <c r="R85" s="162">
        <f t="shared" si="23"/>
        <v>0.07206711195392576</v>
      </c>
      <c r="S85" s="163">
        <f t="shared" si="24"/>
        <v>0.004902524622716039</v>
      </c>
    </row>
    <row r="86" spans="2:19" ht="15">
      <c r="B86" s="164">
        <f t="shared" si="12"/>
        <v>301.15</v>
      </c>
      <c r="C86" s="165">
        <f aca="true" t="shared" si="28" ref="C86:C110">1+C85</f>
        <v>28</v>
      </c>
      <c r="D86" s="166">
        <f t="shared" si="25"/>
        <v>82.39999999999998</v>
      </c>
      <c r="E86" s="167">
        <f t="shared" si="19"/>
        <v>3769.1055437563177</v>
      </c>
      <c r="F86" s="168">
        <f t="shared" si="20"/>
        <v>0.5466625423496764</v>
      </c>
      <c r="G86" s="169">
        <f t="shared" si="21"/>
        <v>0.037187928050998395</v>
      </c>
      <c r="H86" s="183"/>
      <c r="I86" s="758"/>
      <c r="J86" s="125"/>
      <c r="K86" s="792"/>
      <c r="N86" s="187">
        <f t="shared" si="26"/>
        <v>28</v>
      </c>
      <c r="O86" s="188">
        <f aca="true" t="shared" si="29" ref="O86:O149">(5/9)*(N86-32)</f>
        <v>-2.2222222222222223</v>
      </c>
      <c r="P86" s="189">
        <f t="shared" si="27"/>
        <v>270.92777777777695</v>
      </c>
      <c r="Q86" s="190">
        <f t="shared" si="22"/>
        <v>517.7879583424992</v>
      </c>
      <c r="R86" s="191">
        <f t="shared" si="23"/>
        <v>0.0750987942416343</v>
      </c>
      <c r="S86" s="192">
        <f t="shared" si="24"/>
        <v>0.005108761513036348</v>
      </c>
    </row>
    <row r="87" spans="2:19" ht="15">
      <c r="B87" s="170">
        <f aca="true" t="shared" si="30" ref="B87:B110">B86+1</f>
        <v>302.15</v>
      </c>
      <c r="C87" s="171">
        <f t="shared" si="28"/>
        <v>29</v>
      </c>
      <c r="D87" s="172">
        <f t="shared" si="25"/>
        <v>84.19999999999997</v>
      </c>
      <c r="E87" s="173">
        <f t="shared" si="19"/>
        <v>3994.290400473021</v>
      </c>
      <c r="F87" s="174">
        <f t="shared" si="20"/>
        <v>0.579322844599721</v>
      </c>
      <c r="G87" s="163">
        <f t="shared" si="21"/>
        <v>0.039409717319708916</v>
      </c>
      <c r="H87" s="183"/>
      <c r="I87" s="758"/>
      <c r="J87" s="125"/>
      <c r="K87" s="792"/>
      <c r="N87" s="185">
        <f t="shared" si="26"/>
        <v>29</v>
      </c>
      <c r="O87" s="172">
        <f t="shared" si="29"/>
        <v>-1.6666666666666667</v>
      </c>
      <c r="P87" s="186">
        <f t="shared" si="27"/>
        <v>271.4833333333325</v>
      </c>
      <c r="Q87" s="161">
        <f t="shared" si="22"/>
        <v>539.4674355586106</v>
      </c>
      <c r="R87" s="162">
        <f t="shared" si="23"/>
        <v>0.07824313657808166</v>
      </c>
      <c r="S87" s="163">
        <f t="shared" si="24"/>
        <v>0.005322662352250453</v>
      </c>
    </row>
    <row r="88" spans="2:19" ht="15">
      <c r="B88" s="164">
        <f t="shared" si="30"/>
        <v>303.15</v>
      </c>
      <c r="C88" s="165">
        <f t="shared" si="28"/>
        <v>30</v>
      </c>
      <c r="D88" s="166">
        <f t="shared" si="25"/>
        <v>85.99999999999997</v>
      </c>
      <c r="E88" s="167">
        <f t="shared" si="19"/>
        <v>4231.089027228793</v>
      </c>
      <c r="F88" s="168">
        <f t="shared" si="20"/>
        <v>0.6136675817858845</v>
      </c>
      <c r="G88" s="169">
        <f t="shared" si="21"/>
        <v>0.041746093999039766</v>
      </c>
      <c r="H88" s="183"/>
      <c r="I88" s="758"/>
      <c r="J88" s="125"/>
      <c r="K88" s="792"/>
      <c r="N88" s="187">
        <f t="shared" si="26"/>
        <v>30</v>
      </c>
      <c r="O88" s="188">
        <f t="shared" si="29"/>
        <v>-1.1111111111111112</v>
      </c>
      <c r="P88" s="189">
        <f t="shared" si="27"/>
        <v>272.03888888888804</v>
      </c>
      <c r="Q88" s="190">
        <f t="shared" si="22"/>
        <v>561.9484788987708</v>
      </c>
      <c r="R88" s="191">
        <f t="shared" si="23"/>
        <v>0.08150373625201844</v>
      </c>
      <c r="S88" s="192">
        <f t="shared" si="24"/>
        <v>0.005544471853878806</v>
      </c>
    </row>
    <row r="89" spans="2:21" ht="15">
      <c r="B89" s="170">
        <f t="shared" si="30"/>
        <v>304.15</v>
      </c>
      <c r="C89" s="171">
        <f t="shared" si="28"/>
        <v>31</v>
      </c>
      <c r="D89" s="172">
        <f t="shared" si="25"/>
        <v>87.79999999999997</v>
      </c>
      <c r="E89" s="173">
        <f t="shared" si="19"/>
        <v>4479.99851282343</v>
      </c>
      <c r="F89" s="174">
        <f t="shared" si="20"/>
        <v>0.6497688505432743</v>
      </c>
      <c r="G89" s="163">
        <f t="shared" si="21"/>
        <v>0.04420196262199145</v>
      </c>
      <c r="H89" s="183"/>
      <c r="I89" s="758"/>
      <c r="J89" s="125"/>
      <c r="K89" s="792"/>
      <c r="L89" s="65"/>
      <c r="M89" s="802"/>
      <c r="N89" s="803">
        <f t="shared" si="26"/>
        <v>31</v>
      </c>
      <c r="O89" s="777">
        <f t="shared" si="29"/>
        <v>-0.5555555555555556</v>
      </c>
      <c r="P89" s="804">
        <f t="shared" si="27"/>
        <v>272.5944444444436</v>
      </c>
      <c r="Q89" s="805">
        <f t="shared" si="22"/>
        <v>585.2565406841383</v>
      </c>
      <c r="R89" s="806">
        <f t="shared" si="23"/>
        <v>0.08488428481053238</v>
      </c>
      <c r="S89" s="780">
        <f t="shared" si="24"/>
        <v>0.005774441143573632</v>
      </c>
      <c r="T89" s="807"/>
      <c r="U89" s="781"/>
    </row>
    <row r="90" spans="2:22" ht="15">
      <c r="B90" s="164">
        <f t="shared" si="30"/>
        <v>305.15</v>
      </c>
      <c r="C90" s="165">
        <f t="shared" si="28"/>
        <v>32</v>
      </c>
      <c r="D90" s="166">
        <f t="shared" si="25"/>
        <v>89.59999999999997</v>
      </c>
      <c r="E90" s="167">
        <f t="shared" si="19"/>
        <v>4741.532359133135</v>
      </c>
      <c r="F90" s="168">
        <f t="shared" si="20"/>
        <v>0.6877011280224735</v>
      </c>
      <c r="G90" s="169">
        <f t="shared" si="21"/>
        <v>0.04678238966139276</v>
      </c>
      <c r="H90" s="183"/>
      <c r="I90" s="758"/>
      <c r="J90" s="194"/>
      <c r="K90" s="793"/>
      <c r="L90" s="794"/>
      <c r="M90" s="795"/>
      <c r="N90" s="796">
        <f t="shared" si="26"/>
        <v>32</v>
      </c>
      <c r="O90" s="797">
        <f t="shared" si="29"/>
        <v>0</v>
      </c>
      <c r="P90" s="798">
        <f t="shared" si="27"/>
        <v>273.1499999999991</v>
      </c>
      <c r="Q90" s="799">
        <f t="shared" si="22"/>
        <v>609.4177358663734</v>
      </c>
      <c r="R90" s="800">
        <f t="shared" si="23"/>
        <v>0.08838856990714027</v>
      </c>
      <c r="S90" s="801">
        <f t="shared" si="24"/>
        <v>0.006012827884839474</v>
      </c>
      <c r="T90" s="810"/>
      <c r="U90" s="809" t="s">
        <v>335</v>
      </c>
      <c r="V90" s="808"/>
    </row>
    <row r="91" spans="2:19" ht="15">
      <c r="B91" s="170">
        <f t="shared" si="30"/>
        <v>306.15</v>
      </c>
      <c r="C91" s="171">
        <f t="shared" si="28"/>
        <v>33</v>
      </c>
      <c r="D91" s="172">
        <f t="shared" si="25"/>
        <v>91.39999999999996</v>
      </c>
      <c r="E91" s="173">
        <f t="shared" si="19"/>
        <v>5016.220829026783</v>
      </c>
      <c r="F91" s="174">
        <f t="shared" si="20"/>
        <v>0.7275413223505293</v>
      </c>
      <c r="G91" s="163">
        <f t="shared" si="21"/>
        <v>0.04949260696262104</v>
      </c>
      <c r="H91" s="183"/>
      <c r="I91" s="758"/>
      <c r="J91" s="176"/>
      <c r="K91" s="195"/>
      <c r="L91" s="65"/>
      <c r="N91" s="185">
        <f t="shared" si="26"/>
        <v>33</v>
      </c>
      <c r="O91" s="172">
        <f t="shared" si="29"/>
        <v>0.5555555555555556</v>
      </c>
      <c r="P91" s="186">
        <f t="shared" si="27"/>
        <v>273.70555555555467</v>
      </c>
      <c r="Q91" s="161">
        <f t="shared" si="22"/>
        <v>634.4588549112045</v>
      </c>
      <c r="R91" s="162">
        <f t="shared" si="23"/>
        <v>0.09202047717039129</v>
      </c>
      <c r="S91" s="163">
        <f t="shared" si="24"/>
        <v>0.0062598964061490675</v>
      </c>
    </row>
    <row r="92" spans="2:19" ht="15">
      <c r="B92" s="164">
        <f t="shared" si="30"/>
        <v>307.15</v>
      </c>
      <c r="C92" s="165">
        <f t="shared" si="28"/>
        <v>34</v>
      </c>
      <c r="D92" s="166">
        <f t="shared" si="25"/>
        <v>93.19999999999996</v>
      </c>
      <c r="E92" s="167">
        <f t="shared" si="19"/>
        <v>5304.611295402878</v>
      </c>
      <c r="F92" s="168">
        <f t="shared" si="20"/>
        <v>0.7693688232544831</v>
      </c>
      <c r="G92" s="169">
        <f t="shared" si="21"/>
        <v>0.0523380151873798</v>
      </c>
      <c r="H92" s="183"/>
      <c r="I92" s="758"/>
      <c r="J92" s="125"/>
      <c r="K92" s="196"/>
      <c r="N92" s="187">
        <f t="shared" si="26"/>
        <v>34</v>
      </c>
      <c r="O92" s="188">
        <f t="shared" si="29"/>
        <v>1.1111111111111112</v>
      </c>
      <c r="P92" s="189">
        <f t="shared" si="27"/>
        <v>274.2611111111102</v>
      </c>
      <c r="Q92" s="190">
        <f t="shared" si="22"/>
        <v>660.4073768225345</v>
      </c>
      <c r="R92" s="191">
        <f t="shared" si="23"/>
        <v>0.09578399209285403</v>
      </c>
      <c r="S92" s="192">
        <f t="shared" si="24"/>
        <v>0.006515917829445853</v>
      </c>
    </row>
    <row r="93" spans="2:19" ht="15">
      <c r="B93" s="170">
        <f t="shared" si="30"/>
        <v>308.15</v>
      </c>
      <c r="C93" s="171">
        <f t="shared" si="28"/>
        <v>35</v>
      </c>
      <c r="D93" s="172">
        <f t="shared" si="25"/>
        <v>94.99999999999996</v>
      </c>
      <c r="E93" s="173">
        <f t="shared" si="19"/>
        <v>5607.268591176424</v>
      </c>
      <c r="F93" s="174">
        <f t="shared" si="20"/>
        <v>0.8132655528226752</v>
      </c>
      <c r="G93" s="163">
        <f t="shared" si="21"/>
        <v>0.05532418726684866</v>
      </c>
      <c r="H93" s="65"/>
      <c r="I93" s="758"/>
      <c r="J93" s="125"/>
      <c r="K93" s="196"/>
      <c r="N93" s="185">
        <f t="shared" si="26"/>
        <v>35</v>
      </c>
      <c r="O93" s="172">
        <f t="shared" si="29"/>
        <v>1.6666666666666667</v>
      </c>
      <c r="P93" s="186">
        <f t="shared" si="27"/>
        <v>274.81666666666575</v>
      </c>
      <c r="Q93" s="161">
        <f t="shared" si="22"/>
        <v>687.2914823064766</v>
      </c>
      <c r="R93" s="162">
        <f t="shared" si="23"/>
        <v>0.09968320194039838</v>
      </c>
      <c r="S93" s="163">
        <f t="shared" si="24"/>
        <v>0.006781170200027101</v>
      </c>
    </row>
    <row r="94" spans="2:19" ht="15">
      <c r="B94" s="164">
        <f t="shared" si="30"/>
        <v>309.15</v>
      </c>
      <c r="C94" s="165">
        <f t="shared" si="28"/>
        <v>36</v>
      </c>
      <c r="D94" s="166">
        <f t="shared" si="25"/>
        <v>96.79999999999995</v>
      </c>
      <c r="E94" s="167">
        <f t="shared" si="19"/>
        <v>5924.775360046218</v>
      </c>
      <c r="F94" s="168">
        <f t="shared" si="20"/>
        <v>0.859316016379239</v>
      </c>
      <c r="G94" s="169">
        <f t="shared" si="21"/>
        <v>0.058456871862533274</v>
      </c>
      <c r="H94" s="65"/>
      <c r="I94" s="758"/>
      <c r="J94" s="125"/>
      <c r="K94" s="196"/>
      <c r="N94" s="187">
        <f t="shared" si="26"/>
        <v>36</v>
      </c>
      <c r="O94" s="188">
        <f t="shared" si="29"/>
        <v>2.2222222222222223</v>
      </c>
      <c r="P94" s="189">
        <f t="shared" si="27"/>
        <v>275.3722222222213</v>
      </c>
      <c r="Q94" s="190">
        <f t="shared" si="22"/>
        <v>715.1400670745169</v>
      </c>
      <c r="R94" s="191">
        <f t="shared" si="23"/>
        <v>0.1037222976816562</v>
      </c>
      <c r="S94" s="192">
        <f t="shared" si="24"/>
        <v>0.007055938617799741</v>
      </c>
    </row>
    <row r="95" spans="2:19" ht="15">
      <c r="B95" s="170">
        <f t="shared" si="30"/>
        <v>310.15</v>
      </c>
      <c r="C95" s="171">
        <f t="shared" si="28"/>
        <v>37</v>
      </c>
      <c r="D95" s="172">
        <f t="shared" si="25"/>
        <v>98.59999999999995</v>
      </c>
      <c r="E95" s="173">
        <f t="shared" si="19"/>
        <v>6257.732407865788</v>
      </c>
      <c r="F95" s="174">
        <f t="shared" si="20"/>
        <v>0.9076073534461473</v>
      </c>
      <c r="G95" s="163">
        <f t="shared" si="21"/>
        <v>0.061741996833071244</v>
      </c>
      <c r="H95" s="65"/>
      <c r="I95" s="758"/>
      <c r="J95" s="125"/>
      <c r="K95" s="196"/>
      <c r="N95" s="185">
        <f t="shared" si="26"/>
        <v>37</v>
      </c>
      <c r="O95" s="172">
        <f t="shared" si="29"/>
        <v>2.7777777777777777</v>
      </c>
      <c r="P95" s="186">
        <f t="shared" si="27"/>
        <v>275.92777777777684</v>
      </c>
      <c r="Q95" s="161">
        <f t="shared" si="22"/>
        <v>743.9827552847698</v>
      </c>
      <c r="R95" s="162">
        <f t="shared" si="23"/>
        <v>0.10790557593751056</v>
      </c>
      <c r="S95" s="163">
        <f t="shared" si="24"/>
        <v>0.007340515369898678</v>
      </c>
    </row>
    <row r="96" spans="2:19" ht="15">
      <c r="B96" s="197">
        <f t="shared" si="30"/>
        <v>311.15</v>
      </c>
      <c r="C96" s="198">
        <f t="shared" si="28"/>
        <v>38</v>
      </c>
      <c r="D96" s="199">
        <f t="shared" si="25"/>
        <v>100.39999999999995</v>
      </c>
      <c r="E96" s="200">
        <f t="shared" si="19"/>
        <v>6606.759054446793</v>
      </c>
      <c r="F96" s="201">
        <f t="shared" si="20"/>
        <v>0.9582293887679817</v>
      </c>
      <c r="G96" s="202">
        <f t="shared" si="21"/>
        <v>0.06518567270530488</v>
      </c>
      <c r="H96" s="65"/>
      <c r="I96" s="758"/>
      <c r="J96" s="125"/>
      <c r="K96" s="196"/>
      <c r="N96" s="187">
        <f t="shared" si="26"/>
        <v>38</v>
      </c>
      <c r="O96" s="188">
        <f t="shared" si="29"/>
        <v>3.3333333333333335</v>
      </c>
      <c r="P96" s="189">
        <f t="shared" si="27"/>
        <v>276.4833333333324</v>
      </c>
      <c r="Q96" s="190">
        <f t="shared" si="22"/>
        <v>773.8499131207474</v>
      </c>
      <c r="R96" s="191">
        <f t="shared" si="23"/>
        <v>0.11223744095052972</v>
      </c>
      <c r="S96" s="192">
        <f t="shared" si="24"/>
        <v>0.007635200064661886</v>
      </c>
    </row>
    <row r="97" spans="2:19" ht="15">
      <c r="B97" s="138">
        <f t="shared" si="30"/>
        <v>312.15</v>
      </c>
      <c r="C97" s="139">
        <f t="shared" si="28"/>
        <v>39</v>
      </c>
      <c r="D97" s="140">
        <f t="shared" si="25"/>
        <v>102.19999999999995</v>
      </c>
      <c r="E97" s="141">
        <f t="shared" si="19"/>
        <v>6972.493485614606</v>
      </c>
      <c r="F97" s="142">
        <f t="shared" si="20"/>
        <v>1.011274683373278</v>
      </c>
      <c r="G97" s="105">
        <f t="shared" si="21"/>
        <v>0.06879419614784205</v>
      </c>
      <c r="H97" s="65"/>
      <c r="I97" s="758"/>
      <c r="J97" s="125"/>
      <c r="K97" s="196"/>
      <c r="N97" s="185">
        <f t="shared" si="26"/>
        <v>39</v>
      </c>
      <c r="O97" s="172">
        <f t="shared" si="29"/>
        <v>3.8888888888888893</v>
      </c>
      <c r="P97" s="186">
        <f t="shared" si="27"/>
        <v>277.0388888888879</v>
      </c>
      <c r="Q97" s="161">
        <f t="shared" si="22"/>
        <v>804.7726625063789</v>
      </c>
      <c r="R97" s="162">
        <f t="shared" si="23"/>
        <v>0.1167224065741626</v>
      </c>
      <c r="S97" s="163">
        <f t="shared" si="24"/>
        <v>0.007940299766949837</v>
      </c>
    </row>
    <row r="98" spans="2:19" ht="15">
      <c r="B98" s="151">
        <f t="shared" si="30"/>
        <v>313.15</v>
      </c>
      <c r="C98" s="147">
        <f t="shared" si="28"/>
        <v>40</v>
      </c>
      <c r="D98" s="134">
        <f t="shared" si="25"/>
        <v>103.99999999999994</v>
      </c>
      <c r="E98" s="148">
        <f t="shared" si="19"/>
        <v>7355.593105343413</v>
      </c>
      <c r="F98" s="149">
        <f t="shared" si="20"/>
        <v>1.0668385856474043</v>
      </c>
      <c r="G98" s="150">
        <f t="shared" si="21"/>
        <v>0.07257405344540166</v>
      </c>
      <c r="H98" s="65"/>
      <c r="I98" s="758"/>
      <c r="J98" s="125"/>
      <c r="K98" s="196"/>
      <c r="N98" s="187">
        <f t="shared" si="26"/>
        <v>40</v>
      </c>
      <c r="O98" s="188">
        <f t="shared" si="29"/>
        <v>4.444444444444445</v>
      </c>
      <c r="P98" s="189">
        <f t="shared" si="27"/>
        <v>277.59444444444347</v>
      </c>
      <c r="Q98" s="190">
        <f t="shared" si="22"/>
        <v>836.782894956536</v>
      </c>
      <c r="R98" s="191">
        <f t="shared" si="23"/>
        <v>0.12136509828158758</v>
      </c>
      <c r="S98" s="192">
        <f t="shared" si="24"/>
        <v>0.008256129134801877</v>
      </c>
    </row>
    <row r="99" spans="2:19" ht="15">
      <c r="B99" s="138">
        <f t="shared" si="30"/>
        <v>314.15</v>
      </c>
      <c r="C99" s="139">
        <f t="shared" si="28"/>
        <v>41</v>
      </c>
      <c r="D99" s="140">
        <f t="shared" si="25"/>
        <v>105.79999999999994</v>
      </c>
      <c r="E99" s="141">
        <f t="shared" si="19"/>
        <v>7756.7348877899185</v>
      </c>
      <c r="F99" s="142">
        <f t="shared" si="20"/>
        <v>1.1250192823907335</v>
      </c>
      <c r="G99" s="105">
        <f t="shared" si="21"/>
        <v>0.07653192397215874</v>
      </c>
      <c r="H99" s="65"/>
      <c r="I99" s="758"/>
      <c r="J99" s="125"/>
      <c r="K99" s="196"/>
      <c r="N99" s="185">
        <f t="shared" si="26"/>
        <v>41</v>
      </c>
      <c r="O99" s="172">
        <f t="shared" si="29"/>
        <v>5</v>
      </c>
      <c r="P99" s="186">
        <f t="shared" si="27"/>
        <v>278.149999999999</v>
      </c>
      <c r="Q99" s="161">
        <f t="shared" si="22"/>
        <v>869.9132855619368</v>
      </c>
      <c r="R99" s="162">
        <f t="shared" si="23"/>
        <v>0.12617025519405137</v>
      </c>
      <c r="S99" s="163">
        <f t="shared" si="24"/>
        <v>0.00858301055741846</v>
      </c>
    </row>
    <row r="100" spans="2:19" ht="15">
      <c r="B100" s="151">
        <f t="shared" si="30"/>
        <v>315.15</v>
      </c>
      <c r="C100" s="147">
        <f t="shared" si="28"/>
        <v>42</v>
      </c>
      <c r="D100" s="134">
        <f t="shared" si="25"/>
        <v>107.59999999999994</v>
      </c>
      <c r="E100" s="148">
        <f t="shared" si="19"/>
        <v>8176.615729048186</v>
      </c>
      <c r="F100" s="149">
        <f t="shared" si="20"/>
        <v>1.1859178498363698</v>
      </c>
      <c r="G100" s="150">
        <f t="shared" si="21"/>
        <v>0.08067468366233808</v>
      </c>
      <c r="H100" s="65"/>
      <c r="I100" s="758"/>
      <c r="J100" s="125"/>
      <c r="K100" s="196"/>
      <c r="N100" s="187">
        <f t="shared" si="26"/>
        <v>42</v>
      </c>
      <c r="O100" s="188">
        <f t="shared" si="29"/>
        <v>5.555555555555555</v>
      </c>
      <c r="P100" s="189">
        <f t="shared" si="27"/>
        <v>278.70555555555455</v>
      </c>
      <c r="Q100" s="190">
        <f t="shared" si="22"/>
        <v>904.1973071072741</v>
      </c>
      <c r="R100" s="191">
        <f t="shared" si="23"/>
        <v>0.13114273212853036</v>
      </c>
      <c r="S100" s="192">
        <f t="shared" si="24"/>
        <v>0.008921274294457849</v>
      </c>
    </row>
    <row r="101" spans="2:19" ht="15">
      <c r="B101" s="138">
        <f t="shared" si="30"/>
        <v>316.15</v>
      </c>
      <c r="C101" s="139">
        <f t="shared" si="28"/>
        <v>43</v>
      </c>
      <c r="D101" s="140">
        <f t="shared" si="25"/>
        <v>109.39999999999993</v>
      </c>
      <c r="E101" s="141">
        <f t="shared" si="19"/>
        <v>8615.952798446593</v>
      </c>
      <c r="F101" s="142">
        <f t="shared" si="20"/>
        <v>1.2496383046014636</v>
      </c>
      <c r="G101" s="105">
        <f t="shared" si="21"/>
        <v>0.08500940847629004</v>
      </c>
      <c r="H101" s="65"/>
      <c r="I101" s="758"/>
      <c r="J101" s="125"/>
      <c r="K101" s="196"/>
      <c r="N101" s="185">
        <f t="shared" si="26"/>
        <v>43</v>
      </c>
      <c r="O101" s="172">
        <f t="shared" si="29"/>
        <v>6.111111111111112</v>
      </c>
      <c r="P101" s="186">
        <f t="shared" si="27"/>
        <v>279.2611111111101</v>
      </c>
      <c r="Q101" s="161">
        <f t="shared" si="22"/>
        <v>939.6692443216671</v>
      </c>
      <c r="R101" s="162">
        <f t="shared" si="23"/>
        <v>0.13628750166458392</v>
      </c>
      <c r="S101" s="163">
        <f t="shared" si="24"/>
        <v>0.009271258616638363</v>
      </c>
    </row>
    <row r="102" spans="2:19" ht="15">
      <c r="B102" s="151">
        <f t="shared" si="30"/>
        <v>317.15</v>
      </c>
      <c r="C102" s="147">
        <f t="shared" si="28"/>
        <v>44</v>
      </c>
      <c r="D102" s="134">
        <f t="shared" si="25"/>
        <v>111.19999999999993</v>
      </c>
      <c r="E102" s="148">
        <f t="shared" si="19"/>
        <v>9075.483889207922</v>
      </c>
      <c r="F102" s="149">
        <f t="shared" si="20"/>
        <v>1.3162876545461597</v>
      </c>
      <c r="G102" s="150">
        <f t="shared" si="21"/>
        <v>0.08954337786028298</v>
      </c>
      <c r="H102" s="65"/>
      <c r="I102" s="758"/>
      <c r="J102" s="125"/>
      <c r="K102" s="196"/>
      <c r="N102" s="187">
        <f t="shared" si="26"/>
        <v>44</v>
      </c>
      <c r="O102" s="188">
        <f t="shared" si="29"/>
        <v>6.666666666666667</v>
      </c>
      <c r="P102" s="189">
        <f t="shared" si="27"/>
        <v>279.81666666666564</v>
      </c>
      <c r="Q102" s="190">
        <f t="shared" si="22"/>
        <v>976.3642082599551</v>
      </c>
      <c r="R102" s="191">
        <f t="shared" si="23"/>
        <v>0.14160965623018482</v>
      </c>
      <c r="S102" s="192">
        <f t="shared" si="24"/>
        <v>0.00963330994763162</v>
      </c>
    </row>
    <row r="103" spans="2:19" ht="15">
      <c r="B103" s="138">
        <f t="shared" si="30"/>
        <v>318.15</v>
      </c>
      <c r="C103" s="139">
        <f t="shared" si="28"/>
        <v>45</v>
      </c>
      <c r="D103" s="140">
        <f t="shared" si="25"/>
        <v>112.99999999999993</v>
      </c>
      <c r="E103" s="141">
        <f t="shared" si="19"/>
        <v>9555.967768291326</v>
      </c>
      <c r="F103" s="142">
        <f t="shared" si="20"/>
        <v>1.385975949513882</v>
      </c>
      <c r="G103" s="105">
        <f t="shared" si="21"/>
        <v>0.09428407819822326</v>
      </c>
      <c r="H103" s="65"/>
      <c r="I103" s="758"/>
      <c r="J103" s="125"/>
      <c r="K103" s="196"/>
      <c r="N103" s="185">
        <f t="shared" si="26"/>
        <v>45</v>
      </c>
      <c r="O103" s="172">
        <f t="shared" si="29"/>
        <v>7.222222222222222</v>
      </c>
      <c r="P103" s="186">
        <f t="shared" si="27"/>
        <v>280.3722222222212</v>
      </c>
      <c r="Q103" s="161">
        <f t="shared" si="22"/>
        <v>1014.318150813903</v>
      </c>
      <c r="R103" s="162">
        <f t="shared" si="23"/>
        <v>0.14711441020639135</v>
      </c>
      <c r="S103" s="163">
        <f t="shared" si="24"/>
        <v>0.010007783007237507</v>
      </c>
    </row>
    <row r="104" spans="2:19" ht="15">
      <c r="B104" s="151">
        <f t="shared" si="30"/>
        <v>319.15</v>
      </c>
      <c r="C104" s="147">
        <f t="shared" si="28"/>
        <v>46</v>
      </c>
      <c r="D104" s="134">
        <f t="shared" si="25"/>
        <v>114.79999999999993</v>
      </c>
      <c r="E104" s="148">
        <f aca="true" t="shared" si="31" ref="E104:E110">(D$195^(D$196+(D$197*B104)-(D$198/B104)))/(B104^8.2)</f>
        <v>10058.184525239083</v>
      </c>
      <c r="F104" s="149">
        <f t="shared" si="20"/>
        <v>1.4588163319272804</v>
      </c>
      <c r="G104" s="150">
        <f t="shared" si="21"/>
        <v>0.09923920625355649</v>
      </c>
      <c r="H104" s="65"/>
      <c r="I104" s="758"/>
      <c r="J104" s="125"/>
      <c r="K104" s="196"/>
      <c r="N104" s="187">
        <f t="shared" si="26"/>
        <v>46</v>
      </c>
      <c r="O104" s="188">
        <f t="shared" si="29"/>
        <v>7.777777777777779</v>
      </c>
      <c r="P104" s="189">
        <f t="shared" si="27"/>
        <v>280.9277777777767</v>
      </c>
      <c r="Q104" s="190">
        <f t="shared" si="22"/>
        <v>1053.5678793519473</v>
      </c>
      <c r="R104" s="191">
        <f t="shared" si="23"/>
        <v>0.15280710205066333</v>
      </c>
      <c r="S104" s="192">
        <f t="shared" si="24"/>
        <v>0.010395040955827438</v>
      </c>
    </row>
    <row r="105" spans="2:19" ht="15">
      <c r="B105" s="138">
        <f t="shared" si="30"/>
        <v>320.15</v>
      </c>
      <c r="C105" s="139">
        <f t="shared" si="28"/>
        <v>47</v>
      </c>
      <c r="D105" s="140">
        <f t="shared" si="25"/>
        <v>116.59999999999992</v>
      </c>
      <c r="E105" s="141">
        <f t="shared" si="31"/>
        <v>10582.935919847805</v>
      </c>
      <c r="F105" s="142">
        <f t="shared" si="20"/>
        <v>1.5349250872136748</v>
      </c>
      <c r="G105" s="105">
        <f t="shared" si="21"/>
        <v>0.10441667259956972</v>
      </c>
      <c r="H105" s="65"/>
      <c r="I105" s="758"/>
      <c r="J105" s="125"/>
      <c r="K105" s="196"/>
      <c r="N105" s="185">
        <f t="shared" si="26"/>
        <v>47</v>
      </c>
      <c r="O105" s="172">
        <f t="shared" si="29"/>
        <v>8.333333333333334</v>
      </c>
      <c r="P105" s="186">
        <f t="shared" si="27"/>
        <v>281.48333333333227</v>
      </c>
      <c r="Q105" s="161">
        <f t="shared" si="22"/>
        <v>1094.1510714860397</v>
      </c>
      <c r="R105" s="162">
        <f t="shared" si="23"/>
        <v>0.1586931964386115</v>
      </c>
      <c r="S105" s="163">
        <f t="shared" si="24"/>
        <v>0.010795455540041599</v>
      </c>
    </row>
    <row r="106" spans="2:19" ht="15">
      <c r="B106" s="151">
        <f t="shared" si="30"/>
        <v>321.15</v>
      </c>
      <c r="C106" s="147">
        <f t="shared" si="28"/>
        <v>48</v>
      </c>
      <c r="D106" s="134">
        <f t="shared" si="25"/>
        <v>118.39999999999992</v>
      </c>
      <c r="E106" s="148">
        <f t="shared" si="31"/>
        <v>11131.04572848277</v>
      </c>
      <c r="F106" s="149">
        <f t="shared" si="20"/>
        <v>1.614421694033703</v>
      </c>
      <c r="G106" s="150">
        <f t="shared" si="21"/>
        <v>0.10982460503630634</v>
      </c>
      <c r="H106" s="65"/>
      <c r="I106" s="758"/>
      <c r="J106" s="125"/>
      <c r="K106" s="196"/>
      <c r="N106" s="187">
        <f t="shared" si="26"/>
        <v>48</v>
      </c>
      <c r="O106" s="188">
        <f t="shared" si="29"/>
        <v>8.88888888888889</v>
      </c>
      <c r="P106" s="189">
        <f t="shared" si="27"/>
        <v>282.0388888888878</v>
      </c>
      <c r="Q106" s="190">
        <f t="shared" si="22"/>
        <v>1136.1062899645294</v>
      </c>
      <c r="R106" s="191">
        <f t="shared" si="23"/>
        <v>0.16477828642402745</v>
      </c>
      <c r="S106" s="192">
        <f t="shared" si="24"/>
        <v>0.01120940723972976</v>
      </c>
    </row>
    <row r="107" spans="2:19" ht="15">
      <c r="B107" s="138">
        <f t="shared" si="30"/>
        <v>322.15</v>
      </c>
      <c r="C107" s="139">
        <f t="shared" si="28"/>
        <v>49</v>
      </c>
      <c r="D107" s="140">
        <f t="shared" si="25"/>
        <v>120.19999999999992</v>
      </c>
      <c r="E107" s="141">
        <f t="shared" si="31"/>
        <v>11703.360088860647</v>
      </c>
      <c r="F107" s="142">
        <f t="shared" si="20"/>
        <v>1.6974288742878272</v>
      </c>
      <c r="G107" s="105">
        <f t="shared" si="21"/>
        <v>0.1154713519923692</v>
      </c>
      <c r="H107" s="65"/>
      <c r="I107" s="758"/>
      <c r="J107" s="125"/>
      <c r="K107" s="196"/>
      <c r="N107" s="185">
        <f t="shared" si="26"/>
        <v>49</v>
      </c>
      <c r="O107" s="172">
        <f t="shared" si="29"/>
        <v>9.444444444444445</v>
      </c>
      <c r="P107" s="186">
        <f t="shared" si="27"/>
        <v>282.59444444444335</v>
      </c>
      <c r="Q107" s="161">
        <f t="shared" si="22"/>
        <v>1179.472997689372</v>
      </c>
      <c r="R107" s="162">
        <f t="shared" si="23"/>
        <v>0.17106809561694575</v>
      </c>
      <c r="S107" s="163">
        <f t="shared" si="24"/>
        <v>0.011637285416118758</v>
      </c>
    </row>
    <row r="108" spans="2:19" ht="15">
      <c r="B108" s="151">
        <f t="shared" si="30"/>
        <v>323.15</v>
      </c>
      <c r="C108" s="147">
        <f t="shared" si="28"/>
        <v>50</v>
      </c>
      <c r="D108" s="134">
        <f t="shared" si="25"/>
        <v>121.99999999999991</v>
      </c>
      <c r="E108" s="148">
        <f t="shared" si="31"/>
        <v>12300.74784312152</v>
      </c>
      <c r="F108" s="149">
        <f t="shared" si="20"/>
        <v>1.784072642874724</v>
      </c>
      <c r="G108" s="150">
        <f t="shared" si="21"/>
        <v>0.12136548590984518</v>
      </c>
      <c r="H108" s="65"/>
      <c r="I108" s="758"/>
      <c r="J108" s="125"/>
      <c r="K108" s="196"/>
      <c r="N108" s="187">
        <f t="shared" si="26"/>
        <v>50</v>
      </c>
      <c r="O108" s="188">
        <f t="shared" si="29"/>
        <v>10</v>
      </c>
      <c r="P108" s="189">
        <f t="shared" si="27"/>
        <v>283.1499999999989</v>
      </c>
      <c r="Q108" s="190">
        <f t="shared" si="22"/>
        <v>1224.2915728565076</v>
      </c>
      <c r="R108" s="191">
        <f t="shared" si="23"/>
        <v>0.17756848037957004</v>
      </c>
      <c r="S108" s="192">
        <f t="shared" si="24"/>
        <v>0.012079488461195241</v>
      </c>
    </row>
    <row r="109" spans="2:19" ht="15">
      <c r="B109" s="138">
        <f t="shared" si="30"/>
        <v>324.15</v>
      </c>
      <c r="C109" s="139">
        <f t="shared" si="28"/>
        <v>51</v>
      </c>
      <c r="D109" s="140">
        <f t="shared" si="25"/>
        <v>123.79999999999991</v>
      </c>
      <c r="E109" s="141">
        <f t="shared" si="31"/>
        <v>12924.10087900968</v>
      </c>
      <c r="F109" s="142">
        <f t="shared" si="20"/>
        <v>1.8744823571753757</v>
      </c>
      <c r="G109" s="105">
        <f t="shared" si="21"/>
        <v>0.12751580661056977</v>
      </c>
      <c r="H109" s="65"/>
      <c r="I109" s="758"/>
      <c r="J109" s="125"/>
      <c r="K109" s="196"/>
      <c r="N109" s="185">
        <f t="shared" si="26"/>
        <v>51</v>
      </c>
      <c r="O109" s="172">
        <f t="shared" si="29"/>
        <v>10.555555555555555</v>
      </c>
      <c r="P109" s="186">
        <f t="shared" si="27"/>
        <v>283.70555555555444</v>
      </c>
      <c r="Q109" s="161">
        <f t="shared" si="22"/>
        <v>1270.6033242177248</v>
      </c>
      <c r="R109" s="162">
        <f t="shared" si="23"/>
        <v>0.18428543203981942</v>
      </c>
      <c r="S109" s="163">
        <f t="shared" si="24"/>
        <v>0.012536423948287037</v>
      </c>
    </row>
    <row r="110" spans="2:19" ht="15">
      <c r="B110" s="203">
        <f t="shared" si="30"/>
        <v>325.15</v>
      </c>
      <c r="C110" s="204">
        <f t="shared" si="28"/>
        <v>52</v>
      </c>
      <c r="D110" s="205">
        <f t="shared" si="25"/>
        <v>125.59999999999991</v>
      </c>
      <c r="E110" s="206">
        <f t="shared" si="31"/>
        <v>13574.334468991761</v>
      </c>
      <c r="F110" s="207">
        <f t="shared" si="20"/>
        <v>1.968790766237996</v>
      </c>
      <c r="G110" s="208">
        <f t="shared" si="21"/>
        <v>0.13393134464204054</v>
      </c>
      <c r="H110" s="65"/>
      <c r="I110" s="758"/>
      <c r="J110" s="125"/>
      <c r="K110" s="196"/>
      <c r="N110" s="187">
        <f t="shared" si="26"/>
        <v>52</v>
      </c>
      <c r="O110" s="188">
        <f t="shared" si="29"/>
        <v>11.11111111111111</v>
      </c>
      <c r="P110" s="189">
        <f t="shared" si="27"/>
        <v>284.26111111111</v>
      </c>
      <c r="Q110" s="190">
        <f t="shared" si="22"/>
        <v>1318.4505064624873</v>
      </c>
      <c r="R110" s="191">
        <f t="shared" si="23"/>
        <v>0.19122507912227352</v>
      </c>
      <c r="S110" s="192">
        <f t="shared" si="24"/>
        <v>0.013008508783828131</v>
      </c>
    </row>
    <row r="111" spans="2:19" ht="15">
      <c r="B111" s="65"/>
      <c r="E111" s="209"/>
      <c r="F111" s="142"/>
      <c r="G111" s="105"/>
      <c r="H111" s="65"/>
      <c r="I111" s="758"/>
      <c r="J111" s="125"/>
      <c r="K111" s="196"/>
      <c r="N111" s="185">
        <f t="shared" si="26"/>
        <v>53</v>
      </c>
      <c r="O111" s="172">
        <f t="shared" si="29"/>
        <v>11.666666666666668</v>
      </c>
      <c r="P111" s="186">
        <f t="shared" si="27"/>
        <v>284.8166666666655</v>
      </c>
      <c r="Q111" s="161">
        <f t="shared" si="22"/>
        <v>1367.8763357184664</v>
      </c>
      <c r="R111" s="162">
        <f t="shared" si="23"/>
        <v>0.19839368959633497</v>
      </c>
      <c r="S111" s="163">
        <f t="shared" si="24"/>
        <v>0.013496169360294897</v>
      </c>
    </row>
    <row r="112" spans="2:19" ht="15">
      <c r="B112" s="65"/>
      <c r="E112" s="209"/>
      <c r="F112" s="142"/>
      <c r="G112" s="105"/>
      <c r="H112" s="65"/>
      <c r="I112" s="758"/>
      <c r="J112" s="125"/>
      <c r="K112" s="196"/>
      <c r="N112" s="187">
        <f t="shared" si="26"/>
        <v>54</v>
      </c>
      <c r="O112" s="188">
        <f t="shared" si="29"/>
        <v>12.222222222222223</v>
      </c>
      <c r="P112" s="189">
        <f t="shared" si="27"/>
        <v>285.37222222222107</v>
      </c>
      <c r="Q112" s="190">
        <f t="shared" si="22"/>
        <v>1418.925005168532</v>
      </c>
      <c r="R112" s="191">
        <f t="shared" si="23"/>
        <v>0.20579767314128217</v>
      </c>
      <c r="S112" s="192">
        <f t="shared" si="24"/>
        <v>0.013999841710291304</v>
      </c>
    </row>
    <row r="113" spans="2:19" ht="15">
      <c r="B113" s="65"/>
      <c r="E113" s="209"/>
      <c r="F113" s="142"/>
      <c r="G113" s="105"/>
      <c r="H113" s="65"/>
      <c r="I113" s="758"/>
      <c r="J113" s="125"/>
      <c r="K113" s="196"/>
      <c r="N113" s="185">
        <f t="shared" si="26"/>
        <v>55</v>
      </c>
      <c r="O113" s="172">
        <f t="shared" si="29"/>
        <v>12.777777777777779</v>
      </c>
      <c r="P113" s="186">
        <f t="shared" si="27"/>
        <v>285.9277777777766</v>
      </c>
      <c r="Q113" s="161">
        <f t="shared" si="22"/>
        <v>1471.6417007832874</v>
      </c>
      <c r="R113" s="162">
        <f t="shared" si="23"/>
        <v>0.2134435834280808</v>
      </c>
      <c r="S113" s="163">
        <f t="shared" si="24"/>
        <v>0.014519971661774206</v>
      </c>
    </row>
    <row r="114" spans="2:19" ht="15">
      <c r="B114" s="65"/>
      <c r="E114" s="209"/>
      <c r="F114" s="142"/>
      <c r="G114" s="105"/>
      <c r="H114" s="65"/>
      <c r="I114" s="758"/>
      <c r="J114" s="125"/>
      <c r="K114" s="196"/>
      <c r="N114" s="187">
        <f t="shared" si="26"/>
        <v>56</v>
      </c>
      <c r="O114" s="188">
        <f t="shared" si="29"/>
        <v>13.333333333333334</v>
      </c>
      <c r="P114" s="189">
        <f t="shared" si="27"/>
        <v>286.48333333333215</v>
      </c>
      <c r="Q114" s="190">
        <f aca="true" t="shared" si="32" ref="Q114:Q145">(D$195^(D$196+(D$197*P114)-(D$198/P114))/P114^8.2)</f>
        <v>1526.072617166957</v>
      </c>
      <c r="R114" s="191">
        <f aca="true" t="shared" si="33" ref="R114:R145">Q114*E$190</f>
        <v>0.2213381204176354</v>
      </c>
      <c r="S114" s="192">
        <f aca="true" t="shared" si="34" ref="S114:S145">R114/E$189</f>
        <v>0.015057014994396966</v>
      </c>
    </row>
    <row r="115" spans="2:19" ht="15">
      <c r="B115" s="65"/>
      <c r="E115" s="209"/>
      <c r="F115" s="142"/>
      <c r="G115" s="105"/>
      <c r="H115" s="65"/>
      <c r="I115" s="758"/>
      <c r="J115" s="125"/>
      <c r="K115" s="196"/>
      <c r="N115" s="185">
        <f t="shared" si="26"/>
        <v>57</v>
      </c>
      <c r="O115" s="172">
        <f t="shared" si="29"/>
        <v>13.88888888888889</v>
      </c>
      <c r="P115" s="186">
        <f t="shared" si="27"/>
        <v>287.0388888888877</v>
      </c>
      <c r="Q115" s="161">
        <f t="shared" si="32"/>
        <v>1582.2649735149078</v>
      </c>
      <c r="R115" s="162">
        <f t="shared" si="33"/>
        <v>0.22948813267523213</v>
      </c>
      <c r="S115" s="163">
        <f t="shared" si="34"/>
        <v>0.015611437596954568</v>
      </c>
    </row>
    <row r="116" spans="2:21" ht="15">
      <c r="B116" s="65"/>
      <c r="E116" s="209"/>
      <c r="F116" s="142"/>
      <c r="G116" s="105"/>
      <c r="H116" s="65"/>
      <c r="I116" s="758"/>
      <c r="J116" s="125"/>
      <c r="K116" s="196"/>
      <c r="L116" s="749"/>
      <c r="M116" s="768"/>
      <c r="N116" s="769">
        <f t="shared" si="26"/>
        <v>58</v>
      </c>
      <c r="O116" s="770">
        <f t="shared" si="29"/>
        <v>14.444444444444445</v>
      </c>
      <c r="P116" s="771">
        <f t="shared" si="27"/>
        <v>287.59444444444324</v>
      </c>
      <c r="Q116" s="772">
        <f t="shared" si="32"/>
        <v>1640.2670296814613</v>
      </c>
      <c r="R116" s="773">
        <f t="shared" si="33"/>
        <v>0.237900619700978</v>
      </c>
      <c r="S116" s="774">
        <f t="shared" si="34"/>
        <v>0.01618371562591687</v>
      </c>
      <c r="T116" s="812"/>
      <c r="U116" s="813"/>
    </row>
    <row r="117" spans="2:22" ht="15">
      <c r="B117" s="65"/>
      <c r="E117" s="209"/>
      <c r="F117" s="142"/>
      <c r="G117" s="105"/>
      <c r="H117" s="65"/>
      <c r="I117" s="758"/>
      <c r="J117" s="759"/>
      <c r="K117" s="760"/>
      <c r="L117" s="761"/>
      <c r="M117" s="761"/>
      <c r="N117" s="762">
        <f t="shared" si="26"/>
        <v>59</v>
      </c>
      <c r="O117" s="763">
        <f t="shared" si="29"/>
        <v>15</v>
      </c>
      <c r="P117" s="764">
        <f t="shared" si="27"/>
        <v>288.1499999999988</v>
      </c>
      <c r="Q117" s="765">
        <f t="shared" si="32"/>
        <v>1700.128102355441</v>
      </c>
      <c r="R117" s="766">
        <f t="shared" si="33"/>
        <v>0.2465827342758656</v>
      </c>
      <c r="S117" s="767">
        <f t="shared" si="34"/>
        <v>0.016774335665024873</v>
      </c>
      <c r="T117" s="762"/>
      <c r="U117" s="811" t="s">
        <v>336</v>
      </c>
      <c r="V117" s="814"/>
    </row>
    <row r="118" spans="2:19" ht="15">
      <c r="B118" s="65"/>
      <c r="E118" s="209"/>
      <c r="F118" s="142"/>
      <c r="G118" s="105"/>
      <c r="H118" s="65"/>
      <c r="J118" s="125"/>
      <c r="N118" s="187">
        <f t="shared" si="26"/>
        <v>60</v>
      </c>
      <c r="O118" s="188">
        <f t="shared" si="29"/>
        <v>15.555555555555557</v>
      </c>
      <c r="P118" s="189">
        <f t="shared" si="27"/>
        <v>288.7055555555543</v>
      </c>
      <c r="Q118" s="190">
        <f t="shared" si="32"/>
        <v>1761.8985813423894</v>
      </c>
      <c r="R118" s="191">
        <f t="shared" si="33"/>
        <v>0.25554178482330914</v>
      </c>
      <c r="S118" s="192">
        <f t="shared" si="34"/>
        <v>0.0173837948859394</v>
      </c>
    </row>
    <row r="119" spans="2:19" ht="15">
      <c r="B119" s="65"/>
      <c r="E119" s="209"/>
      <c r="F119" s="142"/>
      <c r="G119" s="105"/>
      <c r="H119" s="65"/>
      <c r="J119" s="125"/>
      <c r="N119" s="185">
        <f t="shared" si="26"/>
        <v>61</v>
      </c>
      <c r="O119" s="172">
        <f t="shared" si="29"/>
        <v>16.11111111111111</v>
      </c>
      <c r="P119" s="186">
        <f t="shared" si="27"/>
        <v>289.26111111110987</v>
      </c>
      <c r="Q119" s="161">
        <f t="shared" si="32"/>
        <v>1825.6299459510847</v>
      </c>
      <c r="R119" s="162">
        <f t="shared" si="33"/>
        <v>0.2647852377858076</v>
      </c>
      <c r="S119" s="163">
        <f t="shared" si="34"/>
        <v>0.018012601209918884</v>
      </c>
    </row>
    <row r="120" spans="2:19" ht="15">
      <c r="B120" s="65"/>
      <c r="E120" s="209"/>
      <c r="F120" s="142"/>
      <c r="G120" s="105"/>
      <c r="H120" s="65"/>
      <c r="J120" s="125"/>
      <c r="N120" s="187">
        <f t="shared" si="26"/>
        <v>62</v>
      </c>
      <c r="O120" s="188">
        <f t="shared" si="29"/>
        <v>16.666666666666668</v>
      </c>
      <c r="P120" s="189">
        <f t="shared" si="27"/>
        <v>289.8166666666654</v>
      </c>
      <c r="Q120" s="190">
        <f t="shared" si="32"/>
        <v>1891.3747814822616</v>
      </c>
      <c r="R120" s="191">
        <f t="shared" si="33"/>
        <v>0.2743207200164315</v>
      </c>
      <c r="S120" s="192">
        <f t="shared" si="34"/>
        <v>0.018661273470505543</v>
      </c>
    </row>
    <row r="121" spans="2:19" ht="15">
      <c r="B121" s="65"/>
      <c r="E121" s="209"/>
      <c r="F121" s="142"/>
      <c r="G121" s="105"/>
      <c r="H121" s="65"/>
      <c r="J121" s="125"/>
      <c r="N121" s="185">
        <f t="shared" si="26"/>
        <v>63</v>
      </c>
      <c r="O121" s="172">
        <f t="shared" si="29"/>
        <v>17.22222222222222</v>
      </c>
      <c r="P121" s="186">
        <f t="shared" si="27"/>
        <v>290.37222222222096</v>
      </c>
      <c r="Q121" s="161">
        <f t="shared" si="32"/>
        <v>1959.186795818375</v>
      </c>
      <c r="R121" s="162">
        <f t="shared" si="33"/>
        <v>0.28415602118496497</v>
      </c>
      <c r="S121" s="163">
        <f t="shared" si="34"/>
        <v>0.0193303415772085</v>
      </c>
    </row>
    <row r="122" spans="2:19" ht="15">
      <c r="B122" s="65"/>
      <c r="E122" s="209"/>
      <c r="F122" s="142"/>
      <c r="G122" s="105"/>
      <c r="H122" s="65"/>
      <c r="J122" s="125"/>
      <c r="N122" s="187">
        <f t="shared" si="26"/>
        <v>64</v>
      </c>
      <c r="O122" s="188">
        <f t="shared" si="29"/>
        <v>17.77777777777778</v>
      </c>
      <c r="P122" s="189">
        <f t="shared" si="27"/>
        <v>290.9277777777765</v>
      </c>
      <c r="Q122" s="190">
        <f t="shared" si="32"/>
        <v>2029.1208361110819</v>
      </c>
      <c r="R122" s="191">
        <f t="shared" si="33"/>
        <v>0.29429909619822003</v>
      </c>
      <c r="S122" s="192">
        <f t="shared" si="34"/>
        <v>0.020020346680151024</v>
      </c>
    </row>
    <row r="123" spans="2:19" ht="15">
      <c r="B123" s="65"/>
      <c r="E123" s="209"/>
      <c r="F123" s="142"/>
      <c r="G123" s="105"/>
      <c r="H123" s="65"/>
      <c r="J123" s="125"/>
      <c r="N123" s="185">
        <f t="shared" si="26"/>
        <v>65</v>
      </c>
      <c r="O123" s="172">
        <f t="shared" si="29"/>
        <v>18.333333333333336</v>
      </c>
      <c r="P123" s="186">
        <f aca="true" t="shared" si="35" ref="P123:P144">P122+5/9</f>
        <v>291.48333333333204</v>
      </c>
      <c r="Q123" s="161">
        <f t="shared" si="32"/>
        <v>2101.232905565853</v>
      </c>
      <c r="R123" s="162">
        <f t="shared" si="33"/>
        <v>0.3047580676344389</v>
      </c>
      <c r="S123" s="163">
        <f t="shared" si="34"/>
        <v>0.020731841335676116</v>
      </c>
    </row>
    <row r="124" spans="2:19" ht="15">
      <c r="B124" s="65"/>
      <c r="E124" s="209"/>
      <c r="F124" s="142"/>
      <c r="G124" s="105"/>
      <c r="H124" s="65"/>
      <c r="J124" s="125"/>
      <c r="N124" s="187">
        <f t="shared" si="26"/>
        <v>66</v>
      </c>
      <c r="O124" s="188">
        <f t="shared" si="29"/>
        <v>18.88888888888889</v>
      </c>
      <c r="P124" s="189">
        <f t="shared" si="35"/>
        <v>292.0388888888876</v>
      </c>
      <c r="Q124" s="190">
        <f t="shared" si="32"/>
        <v>2175.580180320656</v>
      </c>
      <c r="R124" s="191">
        <f t="shared" si="33"/>
        <v>0.31554122819134006</v>
      </c>
      <c r="S124" s="192">
        <f t="shared" si="34"/>
        <v>0.021465389672880277</v>
      </c>
    </row>
    <row r="125" spans="2:19" ht="15">
      <c r="B125" s="65"/>
      <c r="E125" s="209"/>
      <c r="F125" s="142"/>
      <c r="G125" s="105"/>
      <c r="H125" s="65"/>
      <c r="J125" s="125"/>
      <c r="N125" s="185">
        <f t="shared" si="26"/>
        <v>67</v>
      </c>
      <c r="O125" s="172">
        <f t="shared" si="29"/>
        <v>19.444444444444446</v>
      </c>
      <c r="P125" s="186">
        <f t="shared" si="35"/>
        <v>292.5944444444431</v>
      </c>
      <c r="Q125" s="161">
        <f t="shared" si="32"/>
        <v>2252.2210264166065</v>
      </c>
      <c r="R125" s="162">
        <f t="shared" si="33"/>
        <v>0.3266570431475028</v>
      </c>
      <c r="S125" s="163">
        <f t="shared" si="34"/>
        <v>0.022221567561054614</v>
      </c>
    </row>
    <row r="126" spans="2:19" ht="15">
      <c r="B126" s="65"/>
      <c r="E126" s="209"/>
      <c r="F126" s="142"/>
      <c r="G126" s="105"/>
      <c r="H126" s="65"/>
      <c r="J126" s="125"/>
      <c r="N126" s="187">
        <f t="shared" si="26"/>
        <v>68</v>
      </c>
      <c r="O126" s="188">
        <f t="shared" si="29"/>
        <v>20</v>
      </c>
      <c r="P126" s="189">
        <f t="shared" si="35"/>
        <v>293.14999999999867</v>
      </c>
      <c r="Q126" s="190">
        <f t="shared" si="32"/>
        <v>2331.21501685918</v>
      </c>
      <c r="R126" s="191">
        <f t="shared" si="33"/>
        <v>0.33811415283688734</v>
      </c>
      <c r="S126" s="192">
        <f t="shared" si="34"/>
        <v>0.023000962778019548</v>
      </c>
    </row>
    <row r="127" spans="2:19" ht="15">
      <c r="B127" s="65"/>
      <c r="E127" s="209"/>
      <c r="F127" s="142"/>
      <c r="G127" s="105"/>
      <c r="H127" s="65"/>
      <c r="J127" s="125"/>
      <c r="N127" s="185">
        <f t="shared" si="26"/>
        <v>69</v>
      </c>
      <c r="O127" s="172">
        <f t="shared" si="29"/>
        <v>20.555555555555557</v>
      </c>
      <c r="P127" s="186">
        <f t="shared" si="35"/>
        <v>293.7055555555542</v>
      </c>
      <c r="Q127" s="161">
        <f t="shared" si="32"/>
        <v>2412.622948766775</v>
      </c>
      <c r="R127" s="162">
        <f t="shared" si="33"/>
        <v>0.34992137513602295</v>
      </c>
      <c r="S127" s="163">
        <f t="shared" si="34"/>
        <v>0.02380417517932129</v>
      </c>
    </row>
    <row r="128" spans="2:19" ht="15">
      <c r="B128" s="65"/>
      <c r="E128" s="209"/>
      <c r="F128" s="142"/>
      <c r="G128" s="105"/>
      <c r="H128" s="65"/>
      <c r="J128" s="125"/>
      <c r="N128" s="187">
        <f t="shared" si="26"/>
        <v>70</v>
      </c>
      <c r="O128" s="188">
        <f t="shared" si="29"/>
        <v>21.11111111111111</v>
      </c>
      <c r="P128" s="189">
        <f t="shared" si="35"/>
        <v>294.26111111110976</v>
      </c>
      <c r="Q128" s="190">
        <f t="shared" si="32"/>
        <v>2496.5068606053264</v>
      </c>
      <c r="R128" s="191">
        <f t="shared" si="33"/>
        <v>0.36208770796367784</v>
      </c>
      <c r="S128" s="192">
        <f t="shared" si="34"/>
        <v>0.024631816868277406</v>
      </c>
    </row>
    <row r="129" spans="2:19" ht="15">
      <c r="B129" s="65"/>
      <c r="E129" s="209"/>
      <c r="F129" s="142"/>
      <c r="G129" s="105"/>
      <c r="H129" s="65"/>
      <c r="J129" s="125"/>
      <c r="N129" s="185">
        <f t="shared" si="26"/>
        <v>71</v>
      </c>
      <c r="O129" s="172">
        <f t="shared" si="29"/>
        <v>21.666666666666668</v>
      </c>
      <c r="P129" s="186">
        <f t="shared" si="35"/>
        <v>294.8166666666653</v>
      </c>
      <c r="Q129" s="161">
        <f t="shared" si="32"/>
        <v>2582.9300495062025</v>
      </c>
      <c r="R129" s="162">
        <f t="shared" si="33"/>
        <v>0.3746223317926076</v>
      </c>
      <c r="S129" s="163">
        <f t="shared" si="34"/>
        <v>0.025484512366844056</v>
      </c>
    </row>
    <row r="130" spans="2:19" ht="15">
      <c r="B130" s="65"/>
      <c r="E130" s="209"/>
      <c r="F130" s="142"/>
      <c r="G130" s="105"/>
      <c r="H130" s="65"/>
      <c r="J130" s="125"/>
      <c r="N130" s="187">
        <f t="shared" si="26"/>
        <v>72</v>
      </c>
      <c r="O130" s="188">
        <f t="shared" si="29"/>
        <v>22.22222222222222</v>
      </c>
      <c r="P130" s="189">
        <f t="shared" si="35"/>
        <v>295.37222222222084</v>
      </c>
      <c r="Q130" s="190">
        <f t="shared" si="32"/>
        <v>2671.9570886649653</v>
      </c>
      <c r="R130" s="191">
        <f t="shared" si="33"/>
        <v>0.387534612173032</v>
      </c>
      <c r="S130" s="192">
        <f t="shared" si="34"/>
        <v>0.026362898787281087</v>
      </c>
    </row>
    <row r="131" spans="2:19" ht="15">
      <c r="B131" s="65"/>
      <c r="E131" s="209"/>
      <c r="F131" s="142"/>
      <c r="G131" s="105"/>
      <c r="H131" s="65"/>
      <c r="J131" s="125"/>
      <c r="N131" s="185">
        <f t="shared" si="26"/>
        <v>73</v>
      </c>
      <c r="O131" s="172">
        <f t="shared" si="29"/>
        <v>22.77777777777778</v>
      </c>
      <c r="P131" s="186">
        <f t="shared" si="35"/>
        <v>295.9277777777764</v>
      </c>
      <c r="Q131" s="161">
        <f t="shared" si="32"/>
        <v>2763.6538448192655</v>
      </c>
      <c r="R131" s="162">
        <f t="shared" si="33"/>
        <v>0.40083410226758925</v>
      </c>
      <c r="S131" s="163">
        <f t="shared" si="34"/>
        <v>0.02726762600459791</v>
      </c>
    </row>
    <row r="132" spans="2:19" ht="15">
      <c r="B132" s="65"/>
      <c r="E132" s="209"/>
      <c r="F132" s="142"/>
      <c r="G132" s="105"/>
      <c r="H132" s="65"/>
      <c r="J132" s="125"/>
      <c r="N132" s="187">
        <f t="shared" si="26"/>
        <v>74</v>
      </c>
      <c r="O132" s="188">
        <f t="shared" si="29"/>
        <v>23.333333333333336</v>
      </c>
      <c r="P132" s="189">
        <f t="shared" si="35"/>
        <v>296.4833333333319</v>
      </c>
      <c r="Q132" s="190">
        <f t="shared" si="32"/>
        <v>2858.0874958028558</v>
      </c>
      <c r="R132" s="191">
        <f t="shared" si="33"/>
        <v>0.4145305453973307</v>
      </c>
      <c r="S132" s="192">
        <f t="shared" si="34"/>
        <v>0.028199356829750388</v>
      </c>
    </row>
    <row r="133" spans="2:19" ht="15">
      <c r="B133" s="65"/>
      <c r="E133" s="209"/>
      <c r="F133" s="142"/>
      <c r="G133" s="105"/>
      <c r="H133" s="65"/>
      <c r="J133" s="125"/>
      <c r="N133" s="185">
        <f t="shared" si="26"/>
        <v>75</v>
      </c>
      <c r="O133" s="172">
        <f t="shared" si="29"/>
        <v>23.88888888888889</v>
      </c>
      <c r="P133" s="186">
        <f t="shared" si="35"/>
        <v>297.03888888888747</v>
      </c>
      <c r="Q133" s="161">
        <f t="shared" si="32"/>
        <v>2955.326548173761</v>
      </c>
      <c r="R133" s="162">
        <f t="shared" si="33"/>
        <v>0.42863387759847027</v>
      </c>
      <c r="S133" s="163">
        <f t="shared" si="34"/>
        <v>0.02915876718356941</v>
      </c>
    </row>
    <row r="134" spans="2:19" ht="15">
      <c r="B134" s="65"/>
      <c r="E134" s="209"/>
      <c r="F134" s="142"/>
      <c r="G134" s="105"/>
      <c r="H134" s="65"/>
      <c r="J134" s="125"/>
      <c r="N134" s="187">
        <f t="shared" si="26"/>
        <v>76</v>
      </c>
      <c r="O134" s="188">
        <f t="shared" si="29"/>
        <v>24.444444444444446</v>
      </c>
      <c r="P134" s="189">
        <f t="shared" si="35"/>
        <v>297.594444444443</v>
      </c>
      <c r="Q134" s="190">
        <f t="shared" si="32"/>
        <v>3055.440854914424</v>
      </c>
      <c r="R134" s="191">
        <f t="shared" si="33"/>
        <v>0.4431542301895742</v>
      </c>
      <c r="S134" s="192">
        <f t="shared" si="34"/>
        <v>0.030146546271399607</v>
      </c>
    </row>
    <row r="135" spans="2:19" ht="15">
      <c r="B135" s="65"/>
      <c r="E135" s="209"/>
      <c r="F135" s="142"/>
      <c r="G135" s="105"/>
      <c r="H135" s="65"/>
      <c r="J135" s="125"/>
      <c r="N135" s="185">
        <f t="shared" si="26"/>
        <v>77</v>
      </c>
      <c r="O135" s="172">
        <f t="shared" si="29"/>
        <v>25</v>
      </c>
      <c r="P135" s="186">
        <f t="shared" si="35"/>
        <v>298.14999999999856</v>
      </c>
      <c r="Q135" s="161">
        <f t="shared" si="32"/>
        <v>3158.5016332000596</v>
      </c>
      <c r="R135" s="162">
        <f t="shared" si="33"/>
        <v>0.4581019323486423</v>
      </c>
      <c r="S135" s="163">
        <f t="shared" si="34"/>
        <v>0.031163396758411045</v>
      </c>
    </row>
    <row r="136" spans="2:19" ht="15">
      <c r="B136" s="65"/>
      <c r="E136" s="209"/>
      <c r="F136" s="142"/>
      <c r="G136" s="105"/>
      <c r="H136" s="65"/>
      <c r="J136" s="125"/>
      <c r="N136" s="187">
        <f t="shared" si="26"/>
        <v>78</v>
      </c>
      <c r="O136" s="188">
        <f t="shared" si="29"/>
        <v>25.555555555555557</v>
      </c>
      <c r="P136" s="189">
        <f t="shared" si="35"/>
        <v>298.7055555555541</v>
      </c>
      <c r="Q136" s="190">
        <f t="shared" si="32"/>
        <v>3264.5814822350317</v>
      </c>
      <c r="R136" s="191">
        <f t="shared" si="33"/>
        <v>0.47348751370005615</v>
      </c>
      <c r="S136" s="192">
        <f t="shared" si="34"/>
        <v>0.032210034945582056</v>
      </c>
    </row>
    <row r="137" spans="2:19" ht="15">
      <c r="B137" s="65"/>
      <c r="E137" s="209"/>
      <c r="F137" s="142"/>
      <c r="G137" s="105"/>
      <c r="H137" s="65"/>
      <c r="J137" s="125"/>
      <c r="N137" s="185">
        <f t="shared" si="26"/>
        <v>79</v>
      </c>
      <c r="O137" s="172">
        <f t="shared" si="29"/>
        <v>26.11111111111111</v>
      </c>
      <c r="P137" s="186">
        <f t="shared" si="35"/>
        <v>299.26111111110964</v>
      </c>
      <c r="Q137" s="161">
        <f t="shared" si="32"/>
        <v>3373.7544011522978</v>
      </c>
      <c r="R137" s="162">
        <f t="shared" si="33"/>
        <v>0.48932170691067384</v>
      </c>
      <c r="S137" s="163">
        <f t="shared" si="34"/>
        <v>0.03328719094630434</v>
      </c>
    </row>
    <row r="138" spans="2:19" ht="15">
      <c r="B138" s="65"/>
      <c r="E138" s="209"/>
      <c r="F138" s="142"/>
      <c r="G138" s="105"/>
      <c r="H138" s="65"/>
      <c r="J138" s="125"/>
      <c r="N138" s="187">
        <f t="shared" si="26"/>
        <v>80</v>
      </c>
      <c r="O138" s="188">
        <f t="shared" si="29"/>
        <v>26.666666666666668</v>
      </c>
      <c r="P138" s="189">
        <f t="shared" si="35"/>
        <v>299.8166666666652</v>
      </c>
      <c r="Q138" s="190">
        <f t="shared" si="32"/>
        <v>3486.095806975176</v>
      </c>
      <c r="R138" s="191">
        <f t="shared" si="33"/>
        <v>0.5056154502949641</v>
      </c>
      <c r="S138" s="192">
        <f t="shared" si="34"/>
        <v>0.034395608863603</v>
      </c>
    </row>
    <row r="139" spans="2:19" ht="15">
      <c r="B139" s="65"/>
      <c r="E139" s="209"/>
      <c r="F139" s="142"/>
      <c r="G139" s="105"/>
      <c r="H139" s="65"/>
      <c r="J139" s="125"/>
      <c r="N139" s="185">
        <f t="shared" si="26"/>
        <v>81</v>
      </c>
      <c r="O139" s="172">
        <f t="shared" si="29"/>
        <v>27.222222222222225</v>
      </c>
      <c r="P139" s="186">
        <f t="shared" si="35"/>
        <v>300.3722222222207</v>
      </c>
      <c r="Q139" s="161">
        <f t="shared" si="32"/>
        <v>3601.682552638302</v>
      </c>
      <c r="R139" s="162">
        <f t="shared" si="33"/>
        <v>0.5223798904287252</v>
      </c>
      <c r="S139" s="163">
        <f t="shared" si="34"/>
        <v>0.03553604696794049</v>
      </c>
    </row>
    <row r="140" spans="2:19" ht="15">
      <c r="B140" s="65"/>
      <c r="E140" s="209"/>
      <c r="F140" s="142"/>
      <c r="G140" s="105"/>
      <c r="H140" s="65"/>
      <c r="J140" s="125"/>
      <c r="N140" s="187">
        <f t="shared" si="26"/>
        <v>82</v>
      </c>
      <c r="O140" s="188">
        <f t="shared" si="29"/>
        <v>27.77777777777778</v>
      </c>
      <c r="P140" s="189">
        <f t="shared" si="35"/>
        <v>300.92777777777627</v>
      </c>
      <c r="Q140" s="190">
        <f t="shared" si="32"/>
        <v>3720.592945064538</v>
      </c>
      <c r="R140" s="191">
        <f t="shared" si="33"/>
        <v>0.5396263847709188</v>
      </c>
      <c r="S140" s="192">
        <f t="shared" si="34"/>
        <v>0.03670927787557271</v>
      </c>
    </row>
    <row r="141" spans="2:19" ht="15">
      <c r="B141" s="65"/>
      <c r="E141" s="209"/>
      <c r="F141" s="142"/>
      <c r="G141" s="105"/>
      <c r="H141" s="65"/>
      <c r="J141" s="125"/>
      <c r="N141" s="185">
        <f t="shared" si="26"/>
        <v>83</v>
      </c>
      <c r="O141" s="172">
        <f t="shared" si="29"/>
        <v>28.333333333333336</v>
      </c>
      <c r="P141" s="186">
        <f t="shared" si="35"/>
        <v>301.4833333333318</v>
      </c>
      <c r="Q141" s="161">
        <f t="shared" si="32"/>
        <v>3842.906763296877</v>
      </c>
      <c r="R141" s="162">
        <f t="shared" si="33"/>
        <v>0.5573665042934804</v>
      </c>
      <c r="S141" s="163">
        <f t="shared" si="34"/>
        <v>0.03791608872744765</v>
      </c>
    </row>
    <row r="142" spans="2:19" ht="15">
      <c r="B142" s="65"/>
      <c r="E142" s="209"/>
      <c r="F142" s="142"/>
      <c r="G142" s="105"/>
      <c r="H142" s="65"/>
      <c r="J142" s="125"/>
      <c r="N142" s="187">
        <f t="shared" si="26"/>
        <v>84</v>
      </c>
      <c r="O142" s="188">
        <f t="shared" si="29"/>
        <v>28.88888888888889</v>
      </c>
      <c r="P142" s="189">
        <f t="shared" si="35"/>
        <v>302.03888888888736</v>
      </c>
      <c r="Q142" s="190">
        <f t="shared" si="32"/>
        <v>3968.705276680417</v>
      </c>
      <c r="R142" s="191">
        <f t="shared" si="33"/>
        <v>0.5756120361183917</v>
      </c>
      <c r="S142" s="192">
        <f t="shared" si="34"/>
        <v>0.03915728136859808</v>
      </c>
    </row>
    <row r="143" spans="2:19" ht="15">
      <c r="B143" s="65"/>
      <c r="E143" s="209"/>
      <c r="F143" s="142"/>
      <c r="G143" s="105"/>
      <c r="H143" s="65"/>
      <c r="J143" s="125"/>
      <c r="N143" s="185">
        <f t="shared" si="26"/>
        <v>85</v>
      </c>
      <c r="O143" s="172">
        <f t="shared" si="29"/>
        <v>29.444444444444446</v>
      </c>
      <c r="P143" s="186">
        <f t="shared" si="35"/>
        <v>302.5944444444429</v>
      </c>
      <c r="Q143" s="161">
        <f t="shared" si="32"/>
        <v>4098.071263094143</v>
      </c>
      <c r="R143" s="162">
        <f t="shared" si="33"/>
        <v>0.5943749861619774</v>
      </c>
      <c r="S143" s="163">
        <f t="shared" si="34"/>
        <v>0.040433672528025676</v>
      </c>
    </row>
    <row r="144" spans="2:19" ht="15">
      <c r="B144" s="65"/>
      <c r="E144" s="209"/>
      <c r="F144" s="142"/>
      <c r="G144" s="105"/>
      <c r="H144" s="65"/>
      <c r="J144" s="125"/>
      <c r="N144" s="187">
        <f t="shared" si="26"/>
        <v>86</v>
      </c>
      <c r="O144" s="188">
        <f t="shared" si="29"/>
        <v>30</v>
      </c>
      <c r="P144" s="189">
        <f t="shared" si="35"/>
        <v>303.14999999999844</v>
      </c>
      <c r="Q144" s="190">
        <f t="shared" si="32"/>
        <v>4231.089027228462</v>
      </c>
      <c r="R144" s="191">
        <f t="shared" si="33"/>
        <v>0.6136675817858366</v>
      </c>
      <c r="S144" s="192">
        <f t="shared" si="34"/>
        <v>0.041746093999036504</v>
      </c>
    </row>
    <row r="145" spans="2:19" ht="15">
      <c r="B145" s="65"/>
      <c r="E145" s="209"/>
      <c r="F145" s="142"/>
      <c r="G145" s="105"/>
      <c r="H145" s="65"/>
      <c r="J145" s="125"/>
      <c r="N145" s="185">
        <f t="shared" si="26"/>
        <v>87</v>
      </c>
      <c r="O145" s="172">
        <f t="shared" si="29"/>
        <v>30.555555555555557</v>
      </c>
      <c r="P145" s="186">
        <f aca="true" t="shared" si="36" ref="P145:P183">P144+5/9</f>
        <v>303.705555555554</v>
      </c>
      <c r="Q145" s="161">
        <f t="shared" si="32"/>
        <v>4367.84441890552</v>
      </c>
      <c r="R145" s="162">
        <f t="shared" si="33"/>
        <v>0.633502274453981</v>
      </c>
      <c r="S145" s="163">
        <f t="shared" si="34"/>
        <v>0.04309539281999871</v>
      </c>
    </row>
    <row r="146" spans="2:19" ht="15">
      <c r="B146" s="65"/>
      <c r="E146" s="209"/>
      <c r="F146" s="142"/>
      <c r="G146" s="105"/>
      <c r="H146" s="65"/>
      <c r="J146" s="125"/>
      <c r="N146" s="187">
        <f t="shared" si="26"/>
        <v>88</v>
      </c>
      <c r="O146" s="188">
        <f t="shared" si="29"/>
        <v>31.111111111111114</v>
      </c>
      <c r="P146" s="189">
        <f t="shared" si="36"/>
        <v>304.2611111111095</v>
      </c>
      <c r="Q146" s="190">
        <f aca="true" t="shared" si="37" ref="Q146:Q177">(D$195^(D$196+(D$197*P146)-(D$198/P146))/P146^8.2)</f>
        <v>4508.424851440976</v>
      </c>
      <c r="R146" s="191">
        <f aca="true" t="shared" si="38" ref="R146:R177">Q146*E$190</f>
        <v>0.6538917423959852</v>
      </c>
      <c r="S146" s="192">
        <f aca="true" t="shared" si="39" ref="S146:S177">R146/E$189</f>
        <v>0.0444824314555092</v>
      </c>
    </row>
    <row r="147" spans="2:19" ht="15">
      <c r="B147" s="65"/>
      <c r="E147" s="209"/>
      <c r="F147" s="142"/>
      <c r="G147" s="105"/>
      <c r="H147" s="65"/>
      <c r="J147" s="125"/>
      <c r="N147" s="185">
        <f t="shared" si="26"/>
        <v>89</v>
      </c>
      <c r="O147" s="172">
        <f t="shared" si="29"/>
        <v>31.666666666666668</v>
      </c>
      <c r="P147" s="186">
        <f t="shared" si="36"/>
        <v>304.81666666666507</v>
      </c>
      <c r="Q147" s="161">
        <f t="shared" si="37"/>
        <v>4652.919320043123</v>
      </c>
      <c r="R147" s="162">
        <f t="shared" si="38"/>
        <v>0.6748488932755525</v>
      </c>
      <c r="S147" s="163">
        <f t="shared" si="39"/>
        <v>0.045908087977928745</v>
      </c>
    </row>
    <row r="148" spans="2:19" ht="15">
      <c r="B148" s="65"/>
      <c r="E148" s="209"/>
      <c r="F148" s="142"/>
      <c r="G148" s="105"/>
      <c r="H148" s="65"/>
      <c r="J148" s="125"/>
      <c r="N148" s="187">
        <f aca="true" t="shared" si="40" ref="N148:N183">N147+1</f>
        <v>90</v>
      </c>
      <c r="O148" s="188">
        <f t="shared" si="29"/>
        <v>32.22222222222222</v>
      </c>
      <c r="P148" s="189">
        <f t="shared" si="36"/>
        <v>305.3722222222206</v>
      </c>
      <c r="Q148" s="190">
        <f t="shared" si="37"/>
        <v>4801.418420247484</v>
      </c>
      <c r="R148" s="191">
        <f t="shared" si="38"/>
        <v>0.6963868668642285</v>
      </c>
      <c r="S148" s="192">
        <f t="shared" si="39"/>
        <v>0.04737325624926724</v>
      </c>
    </row>
    <row r="149" spans="2:19" ht="15">
      <c r="B149" s="65"/>
      <c r="E149" s="209"/>
      <c r="F149" s="142"/>
      <c r="G149" s="105"/>
      <c r="H149" s="65"/>
      <c r="J149" s="125"/>
      <c r="N149" s="185">
        <f t="shared" si="40"/>
        <v>91</v>
      </c>
      <c r="O149" s="172">
        <f t="shared" si="29"/>
        <v>32.77777777777778</v>
      </c>
      <c r="P149" s="186">
        <f t="shared" si="36"/>
        <v>305.92777777777616</v>
      </c>
      <c r="Q149" s="161">
        <f t="shared" si="37"/>
        <v>4954.014366384002</v>
      </c>
      <c r="R149" s="162">
        <f t="shared" si="38"/>
        <v>0.7185190377198388</v>
      </c>
      <c r="S149" s="163">
        <f t="shared" si="39"/>
        <v>0.0488788461033904</v>
      </c>
    </row>
    <row r="150" spans="2:19" ht="15">
      <c r="B150" s="65"/>
      <c r="E150" s="209"/>
      <c r="F150" s="142"/>
      <c r="G150" s="105"/>
      <c r="H150" s="65"/>
      <c r="J150" s="125"/>
      <c r="N150" s="187">
        <f t="shared" si="40"/>
        <v>92</v>
      </c>
      <c r="O150" s="188">
        <f aca="true" t="shared" si="41" ref="O150:O183">(5/9)*(N150-32)</f>
        <v>33.333333333333336</v>
      </c>
      <c r="P150" s="189">
        <f t="shared" si="36"/>
        <v>306.4833333333317</v>
      </c>
      <c r="Q150" s="190">
        <f t="shared" si="37"/>
        <v>5110.801010072747</v>
      </c>
      <c r="R150" s="191">
        <f t="shared" si="38"/>
        <v>0.7412590178690664</v>
      </c>
      <c r="S150" s="192">
        <f t="shared" si="39"/>
        <v>0.05042578352850793</v>
      </c>
    </row>
    <row r="151" spans="2:19" ht="15">
      <c r="B151" s="65"/>
      <c r="E151" s="209"/>
      <c r="F151" s="142"/>
      <c r="G151" s="105"/>
      <c r="H151" s="65"/>
      <c r="J151" s="125"/>
      <c r="N151" s="185">
        <f t="shared" si="40"/>
        <v>93</v>
      </c>
      <c r="O151" s="172">
        <f t="shared" si="41"/>
        <v>33.88888888888889</v>
      </c>
      <c r="P151" s="186">
        <f t="shared" si="36"/>
        <v>307.03888888888724</v>
      </c>
      <c r="Q151" s="161">
        <f t="shared" si="37"/>
        <v>5271.873858748592</v>
      </c>
      <c r="R151" s="162">
        <f t="shared" si="38"/>
        <v>0.7646206594942273</v>
      </c>
      <c r="S151" s="163">
        <f t="shared" si="39"/>
        <v>0.05201501084994744</v>
      </c>
    </row>
    <row r="152" spans="2:19" ht="15">
      <c r="B152" s="65"/>
      <c r="E152" s="209"/>
      <c r="F152" s="142"/>
      <c r="G152" s="105"/>
      <c r="H152" s="65"/>
      <c r="J152" s="125"/>
      <c r="N152" s="187">
        <f t="shared" si="40"/>
        <v>94</v>
      </c>
      <c r="O152" s="188">
        <f t="shared" si="41"/>
        <v>34.44444444444444</v>
      </c>
      <c r="P152" s="189">
        <f t="shared" si="36"/>
        <v>307.5944444444428</v>
      </c>
      <c r="Q152" s="190">
        <f t="shared" si="37"/>
        <v>5437.3300942075875</v>
      </c>
      <c r="R152" s="191">
        <f t="shared" si="38"/>
        <v>0.7886180576231954</v>
      </c>
      <c r="S152" s="192">
        <f t="shared" si="39"/>
        <v>0.05364748691314254</v>
      </c>
    </row>
    <row r="153" spans="2:19" ht="15">
      <c r="B153" s="65"/>
      <c r="E153" s="209"/>
      <c r="F153" s="142"/>
      <c r="G153" s="105"/>
      <c r="H153" s="65"/>
      <c r="J153" s="125"/>
      <c r="N153" s="185">
        <f t="shared" si="40"/>
        <v>95</v>
      </c>
      <c r="O153" s="172">
        <f t="shared" si="41"/>
        <v>35</v>
      </c>
      <c r="P153" s="186">
        <f t="shared" si="36"/>
        <v>308.14999999999833</v>
      </c>
      <c r="Q153" s="161">
        <f t="shared" si="37"/>
        <v>5607.2685911759045</v>
      </c>
      <c r="R153" s="162">
        <f t="shared" si="38"/>
        <v>0.8132655528225999</v>
      </c>
      <c r="S153" s="163">
        <f t="shared" si="39"/>
        <v>0.05532418726684354</v>
      </c>
    </row>
    <row r="154" spans="2:19" ht="15">
      <c r="B154" s="65"/>
      <c r="E154" s="209"/>
      <c r="F154" s="142"/>
      <c r="G154" s="105"/>
      <c r="H154" s="65"/>
      <c r="J154" s="125"/>
      <c r="N154" s="187">
        <f t="shared" si="40"/>
        <v>96</v>
      </c>
      <c r="O154" s="188">
        <f t="shared" si="41"/>
        <v>35.55555555555556</v>
      </c>
      <c r="P154" s="189">
        <f t="shared" si="36"/>
        <v>308.7055555555539</v>
      </c>
      <c r="Q154" s="190">
        <f t="shared" si="37"/>
        <v>5781.789935897416</v>
      </c>
      <c r="R154" s="191">
        <f t="shared" si="38"/>
        <v>0.8385777338937263</v>
      </c>
      <c r="S154" s="192">
        <f t="shared" si="39"/>
        <v>0.05704610434651199</v>
      </c>
    </row>
    <row r="155" spans="2:19" ht="15">
      <c r="B155" s="65"/>
      <c r="E155" s="209"/>
      <c r="F155" s="142"/>
      <c r="G155" s="105"/>
      <c r="H155" s="65"/>
      <c r="J155" s="125"/>
      <c r="N155" s="185">
        <f t="shared" si="40"/>
        <v>97</v>
      </c>
      <c r="O155" s="172">
        <f t="shared" si="41"/>
        <v>36.111111111111114</v>
      </c>
      <c r="P155" s="186">
        <f t="shared" si="36"/>
        <v>309.2611111111094</v>
      </c>
      <c r="Q155" s="161">
        <f t="shared" si="37"/>
        <v>5960.996444735247</v>
      </c>
      <c r="R155" s="162">
        <f t="shared" si="38"/>
        <v>0.8645694405704422</v>
      </c>
      <c r="S155" s="163">
        <f t="shared" si="39"/>
        <v>0.05881424765785321</v>
      </c>
    </row>
    <row r="156" spans="2:19" ht="15">
      <c r="B156" s="65"/>
      <c r="E156" s="209"/>
      <c r="F156" s="142"/>
      <c r="G156" s="105"/>
      <c r="H156" s="65"/>
      <c r="J156" s="125"/>
      <c r="N156" s="187">
        <f t="shared" si="40"/>
        <v>98</v>
      </c>
      <c r="O156" s="188">
        <f t="shared" si="41"/>
        <v>36.66666666666667</v>
      </c>
      <c r="P156" s="189">
        <f t="shared" si="36"/>
        <v>309.81666666666496</v>
      </c>
      <c r="Q156" s="190">
        <f t="shared" si="37"/>
        <v>6144.992182788004</v>
      </c>
      <c r="R156" s="191">
        <f t="shared" si="38"/>
        <v>0.8912557662192546</v>
      </c>
      <c r="S156" s="192">
        <f t="shared" si="39"/>
        <v>0.060629643960493515</v>
      </c>
    </row>
    <row r="157" spans="2:19" ht="15">
      <c r="B157" s="65"/>
      <c r="E157" s="209"/>
      <c r="F157" s="142"/>
      <c r="G157" s="105"/>
      <c r="H157" s="65"/>
      <c r="J157" s="125"/>
      <c r="N157" s="185">
        <f t="shared" si="40"/>
        <v>99</v>
      </c>
      <c r="O157" s="172">
        <f t="shared" si="41"/>
        <v>37.22222222222222</v>
      </c>
      <c r="P157" s="186">
        <f t="shared" si="36"/>
        <v>310.3722222222205</v>
      </c>
      <c r="Q157" s="161">
        <f t="shared" si="37"/>
        <v>6333.882982513972</v>
      </c>
      <c r="R157" s="162">
        <f t="shared" si="38"/>
        <v>0.91865206054052</v>
      </c>
      <c r="S157" s="163">
        <f t="shared" si="39"/>
        <v>0.062493337451736054</v>
      </c>
    </row>
    <row r="158" spans="2:19" ht="15">
      <c r="B158" s="65"/>
      <c r="E158" s="209"/>
      <c r="F158" s="142"/>
      <c r="G158" s="105"/>
      <c r="H158" s="65"/>
      <c r="J158" s="125"/>
      <c r="N158" s="210">
        <f t="shared" si="40"/>
        <v>100</v>
      </c>
      <c r="O158" s="211">
        <f t="shared" si="41"/>
        <v>37.77777777777778</v>
      </c>
      <c r="P158" s="212">
        <f t="shared" si="36"/>
        <v>310.92777777777604</v>
      </c>
      <c r="Q158" s="213">
        <f t="shared" si="37"/>
        <v>6527.776462363479</v>
      </c>
      <c r="R158" s="214">
        <f t="shared" si="38"/>
        <v>0.9467739322708412</v>
      </c>
      <c r="S158" s="215">
        <f t="shared" si="39"/>
        <v>0.06440638995039737</v>
      </c>
    </row>
    <row r="159" spans="2:19" ht="15">
      <c r="B159" s="65"/>
      <c r="E159" s="209"/>
      <c r="F159" s="142"/>
      <c r="G159" s="105"/>
      <c r="H159" s="65"/>
      <c r="J159" s="125"/>
      <c r="N159" s="143">
        <f t="shared" si="40"/>
        <v>101</v>
      </c>
      <c r="O159" s="144">
        <f t="shared" si="41"/>
        <v>38.333333333333336</v>
      </c>
      <c r="P159" s="145">
        <f t="shared" si="36"/>
        <v>311.4833333333316</v>
      </c>
      <c r="Q159" s="141">
        <f t="shared" si="37"/>
        <v>6726.782045414829</v>
      </c>
      <c r="R159" s="142">
        <f t="shared" si="38"/>
        <v>0.9756372518859799</v>
      </c>
      <c r="S159" s="105">
        <f t="shared" si="39"/>
        <v>0.06636988108067891</v>
      </c>
    </row>
    <row r="160" spans="2:19" ht="15">
      <c r="B160" s="65"/>
      <c r="E160" s="209"/>
      <c r="F160" s="142"/>
      <c r="G160" s="105"/>
      <c r="H160" s="65"/>
      <c r="J160" s="125"/>
      <c r="N160" s="731">
        <f t="shared" si="40"/>
        <v>102</v>
      </c>
      <c r="O160" s="732">
        <f t="shared" si="41"/>
        <v>38.88888888888889</v>
      </c>
      <c r="P160" s="727">
        <f t="shared" si="36"/>
        <v>312.03888888888713</v>
      </c>
      <c r="Q160" s="733">
        <f t="shared" si="37"/>
        <v>6931.010978011126</v>
      </c>
      <c r="R160" s="734">
        <f t="shared" si="38"/>
        <v>1.0052581543039014</v>
      </c>
      <c r="S160" s="735">
        <f t="shared" si="39"/>
        <v>0.06838490845604772</v>
      </c>
    </row>
    <row r="161" spans="2:19" ht="15">
      <c r="B161" s="65"/>
      <c r="E161" s="209"/>
      <c r="F161" s="142"/>
      <c r="G161" s="105"/>
      <c r="H161" s="65"/>
      <c r="J161" s="125"/>
      <c r="N161" s="143">
        <f t="shared" si="40"/>
        <v>103</v>
      </c>
      <c r="O161" s="144">
        <f t="shared" si="41"/>
        <v>39.44444444444444</v>
      </c>
      <c r="P161" s="145">
        <f t="shared" si="36"/>
        <v>312.5944444444427</v>
      </c>
      <c r="Q161" s="141">
        <f t="shared" si="37"/>
        <v>7140.576348395683</v>
      </c>
      <c r="R161" s="142">
        <f t="shared" si="38"/>
        <v>1.0356530415876097</v>
      </c>
      <c r="S161" s="105">
        <f t="shared" si="39"/>
        <v>0.07045258786310271</v>
      </c>
    </row>
    <row r="162" spans="2:19" ht="15">
      <c r="B162" s="65"/>
      <c r="E162" s="209"/>
      <c r="F162" s="142"/>
      <c r="G162" s="105"/>
      <c r="H162" s="65"/>
      <c r="J162" s="125"/>
      <c r="N162" s="731">
        <f t="shared" si="40"/>
        <v>104</v>
      </c>
      <c r="O162" s="732">
        <f t="shared" si="41"/>
        <v>40</v>
      </c>
      <c r="P162" s="727">
        <f t="shared" si="36"/>
        <v>313.1499999999982</v>
      </c>
      <c r="Q162" s="733">
        <f t="shared" si="37"/>
        <v>7355.593105342786</v>
      </c>
      <c r="R162" s="734">
        <f t="shared" si="38"/>
        <v>1.0668385856473133</v>
      </c>
      <c r="S162" s="735">
        <f t="shared" si="39"/>
        <v>0.07257405344539547</v>
      </c>
    </row>
    <row r="163" spans="2:19" ht="15">
      <c r="B163" s="65"/>
      <c r="E163" s="209"/>
      <c r="F163" s="142"/>
      <c r="G163" s="105"/>
      <c r="H163" s="65"/>
      <c r="J163" s="125"/>
      <c r="N163" s="143">
        <f t="shared" si="40"/>
        <v>105</v>
      </c>
      <c r="O163" s="144">
        <f t="shared" si="41"/>
        <v>40.55555555555556</v>
      </c>
      <c r="P163" s="145">
        <f t="shared" si="36"/>
        <v>313.70555555555376</v>
      </c>
      <c r="Q163" s="141">
        <f t="shared" si="37"/>
        <v>7576.178076779899</v>
      </c>
      <c r="R163" s="142">
        <f t="shared" si="38"/>
        <v>1.098831730941347</v>
      </c>
      <c r="S163" s="105">
        <f t="shared" si="39"/>
        <v>0.07475045788716646</v>
      </c>
    </row>
    <row r="164" spans="2:19" ht="15">
      <c r="B164" s="65"/>
      <c r="E164" s="209"/>
      <c r="F164" s="142"/>
      <c r="G164" s="105"/>
      <c r="H164" s="65"/>
      <c r="J164" s="125"/>
      <c r="N164" s="731">
        <f t="shared" si="40"/>
        <v>106</v>
      </c>
      <c r="O164" s="732">
        <f t="shared" si="41"/>
        <v>41.111111111111114</v>
      </c>
      <c r="P164" s="727">
        <f t="shared" si="36"/>
        <v>314.2611111111093</v>
      </c>
      <c r="Q164" s="733">
        <f t="shared" si="37"/>
        <v>7802.4499884015</v>
      </c>
      <c r="R164" s="734">
        <f t="shared" si="38"/>
        <v>1.1316496971758798</v>
      </c>
      <c r="S164" s="735">
        <f t="shared" si="39"/>
        <v>0.07698297259699863</v>
      </c>
    </row>
    <row r="165" spans="2:19" ht="15">
      <c r="B165" s="65"/>
      <c r="E165" s="209"/>
      <c r="F165" s="142"/>
      <c r="G165" s="105"/>
      <c r="H165" s="65"/>
      <c r="J165" s="125"/>
      <c r="N165" s="143">
        <f t="shared" si="40"/>
        <v>107</v>
      </c>
      <c r="O165" s="144">
        <f t="shared" si="41"/>
        <v>41.66666666666667</v>
      </c>
      <c r="P165" s="145">
        <f t="shared" si="36"/>
        <v>314.81666666666484</v>
      </c>
      <c r="Q165" s="141">
        <f t="shared" si="37"/>
        <v>8034.529482266603</v>
      </c>
      <c r="R165" s="142">
        <f t="shared" si="38"/>
        <v>1.1653099820022592</v>
      </c>
      <c r="S165" s="105">
        <f t="shared" si="39"/>
        <v>0.07927278789131015</v>
      </c>
    </row>
    <row r="166" spans="2:19" ht="15">
      <c r="B166" s="65"/>
      <c r="E166" s="209"/>
      <c r="F166" s="142"/>
      <c r="G166" s="105"/>
      <c r="H166" s="65"/>
      <c r="J166" s="125"/>
      <c r="N166" s="731">
        <f t="shared" si="40"/>
        <v>108</v>
      </c>
      <c r="O166" s="732">
        <f t="shared" si="41"/>
        <v>42.22222222222222</v>
      </c>
      <c r="P166" s="727">
        <f t="shared" si="36"/>
        <v>315.3722222222204</v>
      </c>
      <c r="Q166" s="733">
        <f t="shared" si="37"/>
        <v>8272.539135382072</v>
      </c>
      <c r="R166" s="734">
        <f t="shared" si="38"/>
        <v>1.1998303637122916</v>
      </c>
      <c r="S166" s="735">
        <f t="shared" si="39"/>
        <v>0.08162111317770691</v>
      </c>
    </row>
    <row r="167" spans="2:19" ht="15">
      <c r="B167" s="65"/>
      <c r="E167" s="209"/>
      <c r="F167" s="142"/>
      <c r="G167" s="105"/>
      <c r="H167" s="65"/>
      <c r="J167" s="125"/>
      <c r="N167" s="143">
        <f t="shared" si="40"/>
        <v>109</v>
      </c>
      <c r="O167" s="144">
        <f t="shared" si="41"/>
        <v>42.77777777777778</v>
      </c>
      <c r="P167" s="145">
        <f t="shared" si="36"/>
        <v>315.92777777777593</v>
      </c>
      <c r="Q167" s="141">
        <f t="shared" si="37"/>
        <v>8516.6034782658</v>
      </c>
      <c r="R167" s="142">
        <f t="shared" si="38"/>
        <v>1.235228903930604</v>
      </c>
      <c r="S167" s="105">
        <f t="shared" si="39"/>
        <v>0.08402917713813632</v>
      </c>
    </row>
    <row r="168" spans="2:19" ht="15">
      <c r="B168" s="65"/>
      <c r="E168" s="209"/>
      <c r="F168" s="142"/>
      <c r="G168" s="105"/>
      <c r="H168" s="65"/>
      <c r="J168" s="125"/>
      <c r="N168" s="731">
        <f t="shared" si="40"/>
        <v>110</v>
      </c>
      <c r="O168" s="732">
        <f t="shared" si="41"/>
        <v>43.333333333333336</v>
      </c>
      <c r="P168" s="727">
        <f t="shared" si="36"/>
        <v>316.4833333333315</v>
      </c>
      <c r="Q168" s="733">
        <f t="shared" si="37"/>
        <v>8766.849013487486</v>
      </c>
      <c r="R168" s="734">
        <f t="shared" si="38"/>
        <v>1.2715239503037565</v>
      </c>
      <c r="S168" s="735">
        <f t="shared" si="39"/>
        <v>0.08649822791182017</v>
      </c>
    </row>
    <row r="169" spans="2:19" ht="15">
      <c r="B169" s="65"/>
      <c r="E169" s="209"/>
      <c r="F169" s="142"/>
      <c r="G169" s="105"/>
      <c r="H169" s="65"/>
      <c r="J169" s="125"/>
      <c r="N169" s="143">
        <f t="shared" si="40"/>
        <v>111</v>
      </c>
      <c r="O169" s="144">
        <f t="shared" si="41"/>
        <v>43.88888888888889</v>
      </c>
      <c r="P169" s="145">
        <f t="shared" si="36"/>
        <v>317.038888888887</v>
      </c>
      <c r="Q169" s="141">
        <f t="shared" si="37"/>
        <v>9023.404234184905</v>
      </c>
      <c r="R169" s="142">
        <f t="shared" si="38"/>
        <v>1.308734139185801</v>
      </c>
      <c r="S169" s="105">
        <f t="shared" si="39"/>
        <v>0.08902953327794565</v>
      </c>
    </row>
    <row r="170" spans="2:19" ht="15">
      <c r="B170" s="65"/>
      <c r="E170" s="209"/>
      <c r="F170" s="142"/>
      <c r="G170" s="105"/>
      <c r="H170" s="65"/>
      <c r="J170" s="125"/>
      <c r="N170" s="731">
        <f t="shared" si="40"/>
        <v>112</v>
      </c>
      <c r="O170" s="732">
        <f t="shared" si="41"/>
        <v>44.44444444444444</v>
      </c>
      <c r="P170" s="727">
        <f t="shared" si="36"/>
        <v>317.59444444444256</v>
      </c>
      <c r="Q170" s="733">
        <f t="shared" si="37"/>
        <v>9286.399642550748</v>
      </c>
      <c r="R170" s="734">
        <f t="shared" si="38"/>
        <v>1.3468783983195691</v>
      </c>
      <c r="S170" s="735">
        <f t="shared" si="39"/>
        <v>0.09162438083806593</v>
      </c>
    </row>
    <row r="171" spans="2:19" ht="15">
      <c r="B171" s="65"/>
      <c r="E171" s="209"/>
      <c r="F171" s="142"/>
      <c r="G171" s="105"/>
      <c r="H171" s="65"/>
      <c r="J171" s="125"/>
      <c r="N171" s="143">
        <f t="shared" si="40"/>
        <v>113</v>
      </c>
      <c r="O171" s="144">
        <f t="shared" si="41"/>
        <v>45</v>
      </c>
      <c r="P171" s="145">
        <f t="shared" si="36"/>
        <v>318.1499999999981</v>
      </c>
      <c r="Q171" s="141">
        <f t="shared" si="37"/>
        <v>9555.967768290375</v>
      </c>
      <c r="R171" s="142">
        <f t="shared" si="38"/>
        <v>1.385975949513744</v>
      </c>
      <c r="S171" s="105">
        <f t="shared" si="39"/>
        <v>0.09428407819821388</v>
      </c>
    </row>
    <row r="172" spans="2:19" ht="15">
      <c r="B172" s="65"/>
      <c r="E172" s="209"/>
      <c r="F172" s="142"/>
      <c r="G172" s="105"/>
      <c r="H172" s="65"/>
      <c r="J172" s="125"/>
      <c r="N172" s="731">
        <f t="shared" si="40"/>
        <v>114</v>
      </c>
      <c r="O172" s="732">
        <f t="shared" si="41"/>
        <v>45.55555555555556</v>
      </c>
      <c r="P172" s="727">
        <f t="shared" si="36"/>
        <v>318.70555555555364</v>
      </c>
      <c r="Q172" s="733">
        <f t="shared" si="37"/>
        <v>9832.243187043152</v>
      </c>
      <c r="R172" s="734">
        <f t="shared" si="38"/>
        <v>1.4260463113146495</v>
      </c>
      <c r="S172" s="735">
        <f t="shared" si="39"/>
        <v>0.09700995315065644</v>
      </c>
    </row>
    <row r="173" spans="2:19" ht="15">
      <c r="B173" s="65"/>
      <c r="E173" s="209"/>
      <c r="F173" s="142"/>
      <c r="G173" s="105"/>
      <c r="H173" s="65"/>
      <c r="J173" s="125"/>
      <c r="N173" s="143">
        <f t="shared" si="40"/>
        <v>115</v>
      </c>
      <c r="O173" s="144">
        <f t="shared" si="41"/>
        <v>46.111111111111114</v>
      </c>
      <c r="P173" s="145">
        <f t="shared" si="36"/>
        <v>319.2611111111092</v>
      </c>
      <c r="Q173" s="141">
        <f t="shared" si="37"/>
        <v>10115.36253876923</v>
      </c>
      <c r="R173" s="142">
        <f t="shared" si="38"/>
        <v>1.4671093016730263</v>
      </c>
      <c r="S173" s="105">
        <f t="shared" si="39"/>
        <v>0.09980335385530792</v>
      </c>
    </row>
    <row r="174" spans="2:19" ht="15">
      <c r="B174" s="65"/>
      <c r="E174" s="209"/>
      <c r="F174" s="142"/>
      <c r="G174" s="105"/>
      <c r="H174" s="65"/>
      <c r="J174" s="125"/>
      <c r="N174" s="731">
        <f t="shared" si="40"/>
        <v>116</v>
      </c>
      <c r="O174" s="732">
        <f t="shared" si="41"/>
        <v>46.66666666666667</v>
      </c>
      <c r="P174" s="727">
        <f t="shared" si="36"/>
        <v>319.81666666666473</v>
      </c>
      <c r="Q174" s="733">
        <f t="shared" si="37"/>
        <v>10405.464546095174</v>
      </c>
      <c r="R174" s="734">
        <f t="shared" si="38"/>
        <v>1.5091850406048408</v>
      </c>
      <c r="S174" s="735">
        <f t="shared" si="39"/>
        <v>0.10266564902073748</v>
      </c>
    </row>
    <row r="175" spans="2:19" ht="15">
      <c r="B175" s="65"/>
      <c r="E175" s="209"/>
      <c r="F175" s="142"/>
      <c r="G175" s="105"/>
      <c r="H175" s="65"/>
      <c r="J175" s="125"/>
      <c r="N175" s="143">
        <f t="shared" si="40"/>
        <v>117</v>
      </c>
      <c r="O175" s="144">
        <f t="shared" si="41"/>
        <v>47.22222222222222</v>
      </c>
      <c r="P175" s="145">
        <f t="shared" si="36"/>
        <v>320.3722222222203</v>
      </c>
      <c r="Q175" s="141">
        <f t="shared" si="37"/>
        <v>10702.690032616338</v>
      </c>
      <c r="R175" s="142">
        <f t="shared" si="38"/>
        <v>1.5522939528458197</v>
      </c>
      <c r="S175" s="105">
        <f t="shared" si="39"/>
        <v>0.10559822808474964</v>
      </c>
    </row>
    <row r="176" spans="2:19" ht="15">
      <c r="B176" s="65"/>
      <c r="E176" s="209"/>
      <c r="F176" s="142"/>
      <c r="G176" s="105"/>
      <c r="H176" s="65"/>
      <c r="J176" s="125"/>
      <c r="N176" s="731">
        <f t="shared" si="40"/>
        <v>118</v>
      </c>
      <c r="O176" s="732">
        <f t="shared" si="41"/>
        <v>47.77777777777778</v>
      </c>
      <c r="P176" s="727">
        <f t="shared" si="36"/>
        <v>320.9277777777758</v>
      </c>
      <c r="Q176" s="733">
        <f t="shared" si="37"/>
        <v>11007.181941155914</v>
      </c>
      <c r="R176" s="734">
        <f t="shared" si="38"/>
        <v>1.5964567704997028</v>
      </c>
      <c r="S176" s="735">
        <f t="shared" si="39"/>
        <v>0.10860250139453761</v>
      </c>
    </row>
    <row r="177" spans="2:19" ht="15">
      <c r="B177" s="65"/>
      <c r="E177" s="209"/>
      <c r="F177" s="142"/>
      <c r="G177" s="105"/>
      <c r="H177" s="65"/>
      <c r="J177" s="125"/>
      <c r="N177" s="143">
        <f t="shared" si="40"/>
        <v>119</v>
      </c>
      <c r="O177" s="144">
        <f t="shared" si="41"/>
        <v>48.333333333333336</v>
      </c>
      <c r="P177" s="145">
        <f t="shared" si="36"/>
        <v>321.48333333333136</v>
      </c>
      <c r="Q177" s="141">
        <f t="shared" si="37"/>
        <v>11319.085351971718</v>
      </c>
      <c r="R177" s="142">
        <f t="shared" si="38"/>
        <v>1.6416945356789119</v>
      </c>
      <c r="S177" s="105">
        <f t="shared" si="39"/>
        <v>0.11167990038632054</v>
      </c>
    </row>
    <row r="178" spans="2:19" ht="15">
      <c r="B178" s="65"/>
      <c r="E178" s="209"/>
      <c r="F178" s="142"/>
      <c r="G178" s="105"/>
      <c r="H178" s="65"/>
      <c r="J178" s="125"/>
      <c r="N178" s="731">
        <f t="shared" si="40"/>
        <v>120</v>
      </c>
      <c r="O178" s="732">
        <f t="shared" si="41"/>
        <v>48.88888888888889</v>
      </c>
      <c r="P178" s="727">
        <f t="shared" si="36"/>
        <v>322.0388888888869</v>
      </c>
      <c r="Q178" s="733">
        <f aca="true" t="shared" si="42" ref="Q178:Q183">(D$195^(D$196+(D$197*P178)-(D$198/P178))/P178^8.2)</f>
        <v>11638.547500915713</v>
      </c>
      <c r="R178" s="734">
        <f aca="true" t="shared" si="43" ref="R178:R183">Q178*E$190</f>
        <v>1.6880286031383678</v>
      </c>
      <c r="S178" s="735">
        <f aca="true" t="shared" si="44" ref="S178:S183">R178/E$189</f>
        <v>0.11483187776451483</v>
      </c>
    </row>
    <row r="179" spans="2:19" ht="15">
      <c r="B179" s="65"/>
      <c r="E179" s="209"/>
      <c r="F179" s="142"/>
      <c r="G179" s="105"/>
      <c r="H179" s="65"/>
      <c r="J179" s="125"/>
      <c r="N179" s="143">
        <f t="shared" si="40"/>
        <v>121</v>
      </c>
      <c r="O179" s="144">
        <f t="shared" si="41"/>
        <v>49.44444444444445</v>
      </c>
      <c r="P179" s="145">
        <f t="shared" si="36"/>
        <v>322.59444444444244</v>
      </c>
      <c r="Q179" s="141">
        <f t="shared" si="42"/>
        <v>11965.717797535464</v>
      </c>
      <c r="R179" s="142">
        <f t="shared" si="43"/>
        <v>1.7354806429008856</v>
      </c>
      <c r="S179" s="105">
        <f t="shared" si="44"/>
        <v>0.11805990768033235</v>
      </c>
    </row>
    <row r="180" spans="2:19" ht="15">
      <c r="B180" s="65"/>
      <c r="E180" s="209"/>
      <c r="F180" s="142"/>
      <c r="G180" s="105"/>
      <c r="H180" s="65"/>
      <c r="J180" s="125"/>
      <c r="N180" s="731">
        <f t="shared" si="40"/>
        <v>122</v>
      </c>
      <c r="O180" s="732">
        <f t="shared" si="41"/>
        <v>50</v>
      </c>
      <c r="P180" s="727">
        <f t="shared" si="36"/>
        <v>323.149999999998</v>
      </c>
      <c r="Q180" s="733">
        <f t="shared" si="42"/>
        <v>12300.747843120296</v>
      </c>
      <c r="R180" s="734">
        <f t="shared" si="43"/>
        <v>1.7840726428745466</v>
      </c>
      <c r="S180" s="735">
        <f t="shared" si="44"/>
        <v>0.1213654859098331</v>
      </c>
    </row>
    <row r="181" spans="2:19" ht="15">
      <c r="B181" s="65"/>
      <c r="E181" s="209"/>
      <c r="F181" s="142"/>
      <c r="G181" s="105"/>
      <c r="H181" s="65"/>
      <c r="J181" s="125"/>
      <c r="N181" s="143">
        <f t="shared" si="40"/>
        <v>123</v>
      </c>
      <c r="O181" s="144">
        <f t="shared" si="41"/>
        <v>50.55555555555556</v>
      </c>
      <c r="P181" s="145">
        <f t="shared" si="36"/>
        <v>323.70555555555353</v>
      </c>
      <c r="Q181" s="141">
        <f t="shared" si="42"/>
        <v>12643.791448687813</v>
      </c>
      <c r="R181" s="142">
        <f t="shared" si="43"/>
        <v>1.8338269114614234</v>
      </c>
      <c r="S181" s="105">
        <f t="shared" si="44"/>
        <v>0.12475013003138935</v>
      </c>
    </row>
    <row r="182" spans="2:19" ht="15">
      <c r="B182" s="65"/>
      <c r="E182" s="209"/>
      <c r="F182" s="142"/>
      <c r="G182" s="105"/>
      <c r="H182" s="65"/>
      <c r="J182" s="125"/>
      <c r="N182" s="731">
        <f t="shared" si="40"/>
        <v>124</v>
      </c>
      <c r="O182" s="732">
        <f t="shared" si="41"/>
        <v>51.111111111111114</v>
      </c>
      <c r="P182" s="727">
        <f t="shared" si="36"/>
        <v>324.2611111111091</v>
      </c>
      <c r="Q182" s="733">
        <f t="shared" si="42"/>
        <v>12995.004652905016</v>
      </c>
      <c r="R182" s="734">
        <f t="shared" si="43"/>
        <v>1.8847660801568185</v>
      </c>
      <c r="S182" s="735">
        <f t="shared" si="44"/>
        <v>0.12821537960250468</v>
      </c>
    </row>
    <row r="183" spans="2:19" ht="15">
      <c r="B183" s="65"/>
      <c r="E183" s="209"/>
      <c r="F183" s="142"/>
      <c r="G183" s="105"/>
      <c r="H183" s="65"/>
      <c r="J183" s="125"/>
      <c r="N183" s="736">
        <f t="shared" si="40"/>
        <v>125</v>
      </c>
      <c r="O183" s="737">
        <f t="shared" si="41"/>
        <v>51.66666666666667</v>
      </c>
      <c r="P183" s="738">
        <f t="shared" si="36"/>
        <v>324.8166666666646</v>
      </c>
      <c r="Q183" s="739">
        <f t="shared" si="42"/>
        <v>13354.545739946745</v>
      </c>
      <c r="R183" s="740">
        <f t="shared" si="43"/>
        <v>1.936913106139412</v>
      </c>
      <c r="S183" s="741">
        <f t="shared" si="44"/>
        <v>0.13176279633601443</v>
      </c>
    </row>
    <row r="184" spans="2:17" ht="15">
      <c r="B184" s="65"/>
      <c r="H184" s="65"/>
      <c r="P184" s="65"/>
      <c r="Q184" s="209"/>
    </row>
    <row r="185" spans="1:19" ht="15">
      <c r="A185" s="175"/>
      <c r="B185" s="175"/>
      <c r="C185" s="175"/>
      <c r="D185" s="175"/>
      <c r="E185" s="175"/>
      <c r="F185" s="175"/>
      <c r="G185" s="175"/>
      <c r="H185" s="175"/>
      <c r="I185" s="175"/>
      <c r="J185" s="175"/>
      <c r="K185" s="175"/>
      <c r="L185" s="175"/>
      <c r="M185" s="175"/>
      <c r="N185" s="175"/>
      <c r="O185" s="175"/>
      <c r="P185" s="175"/>
      <c r="Q185" s="216"/>
      <c r="R185" s="175"/>
      <c r="S185" s="175"/>
    </row>
    <row r="186" spans="2:17" ht="15">
      <c r="B186" s="217" t="s">
        <v>129</v>
      </c>
      <c r="H186" s="65"/>
      <c r="P186" s="65"/>
      <c r="Q186" s="209"/>
    </row>
    <row r="187" spans="8:17" ht="15">
      <c r="H187" s="65"/>
      <c r="P187" s="65"/>
      <c r="Q187" s="209"/>
    </row>
    <row r="188" spans="2:17" ht="15">
      <c r="B188" s="218" t="s">
        <v>130</v>
      </c>
      <c r="H188" s="65"/>
      <c r="P188" s="65"/>
      <c r="Q188" s="209"/>
    </row>
    <row r="189" spans="4:17" ht="15">
      <c r="D189" s="219" t="s">
        <v>131</v>
      </c>
      <c r="E189" s="220">
        <v>14.7</v>
      </c>
      <c r="H189" s="65"/>
      <c r="P189" s="65"/>
      <c r="Q189" s="209"/>
    </row>
    <row r="190" spans="4:17" ht="15">
      <c r="D190" s="219" t="s">
        <v>132</v>
      </c>
      <c r="E190" s="220">
        <v>0.000145037738</v>
      </c>
      <c r="P190" s="65"/>
      <c r="Q190" s="209"/>
    </row>
    <row r="191" spans="4:17" ht="15">
      <c r="D191" s="219" t="s">
        <v>133</v>
      </c>
      <c r="E191" s="220">
        <f>E189/E190</f>
        <v>101352.93202104406</v>
      </c>
      <c r="P191" s="65"/>
      <c r="Q191" s="209"/>
    </row>
    <row r="192" spans="4:17" ht="15">
      <c r="D192" s="219" t="s">
        <v>134</v>
      </c>
      <c r="E192" s="220">
        <f>E191/100</f>
        <v>1013.5293202104407</v>
      </c>
      <c r="P192" s="65"/>
      <c r="Q192" s="209"/>
    </row>
    <row r="193" spans="16:17" ht="15">
      <c r="P193" s="65"/>
      <c r="Q193" s="209"/>
    </row>
    <row r="194" spans="2:17" ht="15">
      <c r="B194" s="221" t="s">
        <v>135</v>
      </c>
      <c r="P194" s="65"/>
      <c r="Q194" s="209"/>
    </row>
    <row r="195" spans="2:17" ht="15">
      <c r="B195" s="222" t="s">
        <v>136</v>
      </c>
      <c r="C195" s="223" t="s">
        <v>137</v>
      </c>
      <c r="D195" s="224">
        <f>EXP(1)</f>
        <v>2.718281828459045</v>
      </c>
      <c r="P195" s="65"/>
      <c r="Q195" s="209"/>
    </row>
    <row r="196" spans="2:17" ht="15">
      <c r="B196" s="222">
        <f>FIND("(",A4)</f>
        <v>8</v>
      </c>
      <c r="C196" s="225">
        <f>FIND("+",A4)</f>
        <v>17</v>
      </c>
      <c r="D196" s="226">
        <f>VALUE(MID(A$4,B196+1,C196-B196-2))</f>
        <v>77.345</v>
      </c>
      <c r="P196" s="65"/>
      <c r="Q196" s="209"/>
    </row>
    <row r="197" spans="2:17" ht="15">
      <c r="B197" s="222">
        <f>C196</f>
        <v>17</v>
      </c>
      <c r="C197" s="223">
        <f>FIND("T",A4)</f>
        <v>26</v>
      </c>
      <c r="D197" s="227">
        <f>VALUE(MID(A$4,B197+1,C197-B197-2))</f>
        <v>0.0057</v>
      </c>
      <c r="P197" s="65"/>
      <c r="Q197" s="209"/>
    </row>
    <row r="198" spans="2:17" ht="15">
      <c r="B198" s="222">
        <f>C197+2</f>
        <v>28</v>
      </c>
      <c r="C198" s="225">
        <f>FIND("/",A4)</f>
        <v>36</v>
      </c>
      <c r="D198" s="228">
        <f>VALUE(MID(A$4,B198+1,C198-B198-2))</f>
        <v>7235</v>
      </c>
      <c r="P198" s="65"/>
      <c r="Q198" s="209"/>
    </row>
    <row r="199" spans="16:17" ht="14.25" customHeight="1">
      <c r="P199" s="65"/>
      <c r="Q199" s="209"/>
    </row>
    <row r="200" spans="1:19" ht="14.25" customHeight="1">
      <c r="A200" s="175"/>
      <c r="B200" s="175"/>
      <c r="C200" s="175"/>
      <c r="D200" s="175"/>
      <c r="E200" s="175"/>
      <c r="F200" s="175"/>
      <c r="G200" s="175"/>
      <c r="H200" s="175"/>
      <c r="I200" s="175"/>
      <c r="J200" s="175"/>
      <c r="K200" s="175"/>
      <c r="L200" s="175"/>
      <c r="M200" s="175"/>
      <c r="N200" s="175"/>
      <c r="O200" s="175"/>
      <c r="P200" s="175"/>
      <c r="Q200" s="216"/>
      <c r="R200" s="175"/>
      <c r="S200" s="175"/>
    </row>
    <row r="201" spans="2:17" ht="15">
      <c r="B201" s="217" t="s">
        <v>138</v>
      </c>
      <c r="E201" s="65"/>
      <c r="P201" s="65"/>
      <c r="Q201" s="209"/>
    </row>
    <row r="202" spans="5:17" ht="15">
      <c r="E202" s="65"/>
      <c r="P202" s="65"/>
      <c r="Q202" s="209"/>
    </row>
    <row r="203" spans="2:17" ht="15">
      <c r="B203" s="229" t="s">
        <v>139</v>
      </c>
      <c r="E203" s="65"/>
      <c r="P203" s="65"/>
      <c r="Q203" s="209"/>
    </row>
    <row r="204" spans="2:17" ht="15">
      <c r="B204" s="230" t="s">
        <v>140</v>
      </c>
      <c r="E204" s="65"/>
      <c r="F204" s="65"/>
      <c r="P204" s="65"/>
      <c r="Q204" s="209"/>
    </row>
    <row r="205" spans="2:17" ht="15">
      <c r="B205" s="231"/>
      <c r="E205" s="65"/>
      <c r="F205" s="65"/>
      <c r="P205" s="65"/>
      <c r="Q205" s="209"/>
    </row>
    <row r="206" spans="2:17" ht="15">
      <c r="B206" s="229" t="s">
        <v>141</v>
      </c>
      <c r="E206" s="65"/>
      <c r="F206" s="65"/>
      <c r="P206" s="65"/>
      <c r="Q206" s="209"/>
    </row>
    <row r="207" spans="2:17" ht="15">
      <c r="B207" s="230" t="s">
        <v>142</v>
      </c>
      <c r="E207" s="65"/>
      <c r="F207" s="65"/>
      <c r="P207" s="65"/>
      <c r="Q207" s="209"/>
    </row>
    <row r="208" spans="2:17" ht="15">
      <c r="B208" s="231"/>
      <c r="E208" s="65"/>
      <c r="F208" s="65"/>
      <c r="P208" s="65"/>
      <c r="Q208" s="209"/>
    </row>
    <row r="209" spans="2:17" ht="15">
      <c r="B209" s="229" t="s">
        <v>143</v>
      </c>
      <c r="E209" s="65"/>
      <c r="F209" s="65"/>
      <c r="P209" s="65"/>
      <c r="Q209" s="209"/>
    </row>
    <row r="210" spans="2:17" ht="15">
      <c r="B210" s="229" t="s">
        <v>144</v>
      </c>
      <c r="P210" s="65"/>
      <c r="Q210" s="209"/>
    </row>
    <row r="211" spans="2:17" ht="15">
      <c r="B211" s="229" t="s">
        <v>145</v>
      </c>
      <c r="P211" s="65"/>
      <c r="Q211" s="209"/>
    </row>
    <row r="212" spans="2:17" ht="15">
      <c r="B212" s="65"/>
      <c r="P212" s="65"/>
      <c r="Q212" s="209"/>
    </row>
    <row r="213" spans="2:17" ht="15">
      <c r="B213" s="65"/>
      <c r="P213" s="65"/>
      <c r="Q213" s="209"/>
    </row>
    <row r="214" spans="2:17" ht="15">
      <c r="B214" s="65"/>
      <c r="P214" s="65"/>
      <c r="Q214" s="209"/>
    </row>
  </sheetData>
  <sheetProtection sheet="1"/>
  <mergeCells count="8">
    <mergeCell ref="A1:U1"/>
    <mergeCell ref="A2:U2"/>
    <mergeCell ref="B14:G14"/>
    <mergeCell ref="N14:S14"/>
    <mergeCell ref="E15:F15"/>
    <mergeCell ref="G15:G16"/>
    <mergeCell ref="Q15:R15"/>
    <mergeCell ref="S15:S16"/>
  </mergeCells>
  <printOptions/>
  <pageMargins left="0.7" right="0.7" top="0.75" bottom="0.75" header="0.5118055555555555" footer="0.511805555555555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W86"/>
  <sheetViews>
    <sheetView showGridLines="0" zoomScalePageLayoutView="0" workbookViewId="0" topLeftCell="A1">
      <selection activeCell="A1" sqref="A1:I1"/>
    </sheetView>
  </sheetViews>
  <sheetFormatPr defaultColWidth="9.140625" defaultRowHeight="14.25" customHeight="1"/>
  <cols>
    <col min="1" max="2" width="9.421875" style="0" customWidth="1"/>
    <col min="3" max="3" width="7.8515625" style="0" customWidth="1"/>
    <col min="4" max="4" width="8.7109375" style="0" customWidth="1"/>
    <col min="5" max="6" width="7.8515625" style="0" customWidth="1"/>
    <col min="7" max="7" width="9.421875" style="0" customWidth="1"/>
    <col min="8" max="8" width="9.57421875" style="0" customWidth="1"/>
    <col min="9" max="9" width="8.28125" style="0" customWidth="1"/>
    <col min="10" max="11" width="2.7109375" style="0" customWidth="1"/>
    <col min="12" max="12" width="70.57421875" style="0" customWidth="1"/>
    <col min="14" max="14" width="9.140625" style="232" customWidth="1"/>
  </cols>
  <sheetData>
    <row r="1" spans="1:14" ht="18.75" customHeight="1">
      <c r="A1" s="1045" t="s">
        <v>146</v>
      </c>
      <c r="B1" s="1045"/>
      <c r="C1" s="1045"/>
      <c r="D1" s="1045"/>
      <c r="E1" s="1045"/>
      <c r="F1" s="1045"/>
      <c r="G1" s="1045"/>
      <c r="H1" s="1045"/>
      <c r="I1" s="1045"/>
      <c r="J1" s="1"/>
      <c r="N1"/>
    </row>
    <row r="2" ht="14.25" customHeight="1">
      <c r="N2"/>
    </row>
    <row r="3" spans="1:14" ht="14.25" customHeight="1">
      <c r="A3" s="1096" t="s">
        <v>147</v>
      </c>
      <c r="B3" s="1096"/>
      <c r="C3" s="1097" t="s">
        <v>148</v>
      </c>
      <c r="D3" s="1097"/>
      <c r="E3" s="1097" t="s">
        <v>149</v>
      </c>
      <c r="F3" s="1097"/>
      <c r="G3" s="1097"/>
      <c r="H3" s="1097"/>
      <c r="I3" s="233" t="s">
        <v>150</v>
      </c>
      <c r="J3" s="234"/>
      <c r="N3"/>
    </row>
    <row r="4" spans="1:21" ht="14.25" customHeight="1">
      <c r="A4" s="235" t="s">
        <v>151</v>
      </c>
      <c r="B4" s="236" t="s">
        <v>152</v>
      </c>
      <c r="C4" s="237" t="s">
        <v>153</v>
      </c>
      <c r="D4" s="238" t="s">
        <v>154</v>
      </c>
      <c r="E4" s="237" t="s">
        <v>155</v>
      </c>
      <c r="F4" s="239" t="s">
        <v>156</v>
      </c>
      <c r="G4" s="239" t="s">
        <v>157</v>
      </c>
      <c r="H4" s="238" t="s">
        <v>55</v>
      </c>
      <c r="I4" s="240"/>
      <c r="J4" s="234"/>
      <c r="L4" s="1098" t="s">
        <v>158</v>
      </c>
      <c r="M4" s="241"/>
      <c r="N4" s="241"/>
      <c r="O4" s="241"/>
      <c r="P4" s="241"/>
      <c r="Q4" s="241"/>
      <c r="R4" s="241"/>
      <c r="S4" s="241"/>
      <c r="T4" s="241"/>
      <c r="U4" s="241"/>
    </row>
    <row r="5" spans="1:23" ht="14.25" customHeight="1">
      <c r="A5" s="242" t="s">
        <v>159</v>
      </c>
      <c r="B5" s="243" t="s">
        <v>159</v>
      </c>
      <c r="C5" s="244">
        <f aca="true" t="shared" si="0" ref="C5:H5">8*C12</f>
        <v>239.36</v>
      </c>
      <c r="D5" s="245">
        <f t="shared" si="0"/>
        <v>6080</v>
      </c>
      <c r="E5" s="244">
        <f t="shared" si="0"/>
        <v>117.568</v>
      </c>
      <c r="F5" s="246">
        <f t="shared" si="0"/>
        <v>8.2664</v>
      </c>
      <c r="G5" s="247">
        <f t="shared" si="0"/>
        <v>810.6</v>
      </c>
      <c r="H5" s="248">
        <f t="shared" si="0"/>
        <v>8106</v>
      </c>
      <c r="I5" s="249">
        <v>8</v>
      </c>
      <c r="J5" s="1094" t="s">
        <v>160</v>
      </c>
      <c r="K5" s="1094"/>
      <c r="L5" s="1098"/>
      <c r="M5" s="241"/>
      <c r="N5" s="241"/>
      <c r="O5" s="241"/>
      <c r="P5" s="241"/>
      <c r="Q5" s="241"/>
      <c r="R5" s="241"/>
      <c r="S5" s="241"/>
      <c r="T5" s="241"/>
      <c r="U5" s="241"/>
      <c r="V5" s="250"/>
      <c r="W5" s="250"/>
    </row>
    <row r="6" spans="1:14" ht="14.25" customHeight="1">
      <c r="A6" s="242" t="s">
        <v>159</v>
      </c>
      <c r="B6" s="243" t="s">
        <v>159</v>
      </c>
      <c r="C6" s="243" t="s">
        <v>159</v>
      </c>
      <c r="D6" s="251" t="s">
        <v>159</v>
      </c>
      <c r="E6" s="243" t="s">
        <v>159</v>
      </c>
      <c r="F6" s="252" t="s">
        <v>159</v>
      </c>
      <c r="G6" s="252" t="s">
        <v>159</v>
      </c>
      <c r="H6" s="251" t="s">
        <v>159</v>
      </c>
      <c r="I6" s="253" t="s">
        <v>159</v>
      </c>
      <c r="J6" s="234"/>
      <c r="K6" s="254"/>
      <c r="L6" s="1360"/>
      <c r="N6"/>
    </row>
    <row r="7" spans="1:14" ht="14.25" customHeight="1">
      <c r="A7" s="242" t="s">
        <v>159</v>
      </c>
      <c r="B7" s="243" t="s">
        <v>159</v>
      </c>
      <c r="C7" s="255">
        <f aca="true" t="shared" si="1" ref="C7:H7">C12*2.8</f>
        <v>83.776</v>
      </c>
      <c r="D7" s="256">
        <f t="shared" si="1"/>
        <v>2128</v>
      </c>
      <c r="E7" s="255">
        <f t="shared" si="1"/>
        <v>41.148799999999994</v>
      </c>
      <c r="F7" s="257">
        <f t="shared" si="1"/>
        <v>2.89324</v>
      </c>
      <c r="G7" s="258">
        <f t="shared" si="1"/>
        <v>283.71</v>
      </c>
      <c r="H7" s="259">
        <f t="shared" si="1"/>
        <v>2837.1</v>
      </c>
      <c r="I7" s="260">
        <v>2.8</v>
      </c>
      <c r="J7" s="1094" t="s">
        <v>160</v>
      </c>
      <c r="K7" s="1094"/>
      <c r="L7" s="1359" t="s">
        <v>161</v>
      </c>
      <c r="N7"/>
    </row>
    <row r="8" spans="1:14" ht="14.25" customHeight="1">
      <c r="A8" s="242" t="s">
        <v>159</v>
      </c>
      <c r="B8" s="243" t="s">
        <v>159</v>
      </c>
      <c r="C8" s="243" t="s">
        <v>159</v>
      </c>
      <c r="D8" s="251" t="s">
        <v>159</v>
      </c>
      <c r="E8" s="243" t="s">
        <v>159</v>
      </c>
      <c r="F8" s="252" t="s">
        <v>159</v>
      </c>
      <c r="G8" s="252" t="s">
        <v>159</v>
      </c>
      <c r="H8" s="251" t="s">
        <v>159</v>
      </c>
      <c r="I8" s="253" t="s">
        <v>159</v>
      </c>
      <c r="J8" s="234"/>
      <c r="K8" s="261"/>
      <c r="L8" s="1095"/>
      <c r="N8"/>
    </row>
    <row r="9" spans="1:23" ht="14.25" customHeight="1">
      <c r="A9" s="242" t="s">
        <v>159</v>
      </c>
      <c r="B9" s="243" t="s">
        <v>159</v>
      </c>
      <c r="C9" s="255">
        <f aca="true" t="shared" si="2" ref="C9:H9">1.4*C12</f>
        <v>41.888</v>
      </c>
      <c r="D9" s="256">
        <f t="shared" si="2"/>
        <v>1064</v>
      </c>
      <c r="E9" s="255">
        <f t="shared" si="2"/>
        <v>20.574399999999997</v>
      </c>
      <c r="F9" s="257">
        <f t="shared" si="2"/>
        <v>1.44662</v>
      </c>
      <c r="G9" s="258">
        <f t="shared" si="2"/>
        <v>141.855</v>
      </c>
      <c r="H9" s="259">
        <f t="shared" si="2"/>
        <v>1418.55</v>
      </c>
      <c r="I9" s="260">
        <v>1.4</v>
      </c>
      <c r="J9" s="1094" t="s">
        <v>160</v>
      </c>
      <c r="K9" s="1094" t="s">
        <v>160</v>
      </c>
      <c r="L9" s="1092" t="s">
        <v>341</v>
      </c>
      <c r="M9" s="262"/>
      <c r="N9" s="262"/>
      <c r="O9" s="262"/>
      <c r="P9" s="262"/>
      <c r="Q9" s="262"/>
      <c r="R9" s="262"/>
      <c r="S9" s="262"/>
      <c r="T9" s="262"/>
      <c r="U9" s="262"/>
      <c r="V9" s="262"/>
      <c r="W9" s="262"/>
    </row>
    <row r="10" spans="1:23" ht="14.25" customHeight="1">
      <c r="A10" s="242" t="s">
        <v>159</v>
      </c>
      <c r="B10" s="243" t="s">
        <v>159</v>
      </c>
      <c r="C10" s="243" t="s">
        <v>159</v>
      </c>
      <c r="D10" s="251" t="s">
        <v>159</v>
      </c>
      <c r="E10" s="243" t="s">
        <v>159</v>
      </c>
      <c r="F10" s="252" t="s">
        <v>159</v>
      </c>
      <c r="G10" s="252" t="s">
        <v>159</v>
      </c>
      <c r="H10" s="251" t="s">
        <v>159</v>
      </c>
      <c r="I10" s="253" t="s">
        <v>159</v>
      </c>
      <c r="J10" s="234"/>
      <c r="K10" s="263"/>
      <c r="L10" s="1093"/>
      <c r="M10" s="264"/>
      <c r="N10" s="264"/>
      <c r="O10" s="264"/>
      <c r="P10" s="264"/>
      <c r="Q10" s="264"/>
      <c r="R10" s="264"/>
      <c r="S10" s="264"/>
      <c r="T10" s="264"/>
      <c r="U10" s="264"/>
      <c r="V10" s="264"/>
      <c r="W10" s="264"/>
    </row>
    <row r="11" spans="1:14" ht="14.25" customHeight="1">
      <c r="A11" s="266">
        <v>-500</v>
      </c>
      <c r="B11" s="265">
        <v>-153</v>
      </c>
      <c r="C11" s="255">
        <v>30.47</v>
      </c>
      <c r="D11" s="256">
        <v>773.9</v>
      </c>
      <c r="E11" s="255">
        <v>14.96</v>
      </c>
      <c r="F11" s="257">
        <v>1.052</v>
      </c>
      <c r="G11" s="258">
        <v>103.1</v>
      </c>
      <c r="H11" s="259">
        <f>G11/0.1</f>
        <v>1030.9999999999998</v>
      </c>
      <c r="I11" s="253" t="s">
        <v>159</v>
      </c>
      <c r="J11" s="234"/>
      <c r="L11" s="1362"/>
      <c r="N11"/>
    </row>
    <row r="12" spans="1:14" ht="14.25" customHeight="1">
      <c r="A12" s="267" t="s">
        <v>163</v>
      </c>
      <c r="B12" s="268">
        <v>0</v>
      </c>
      <c r="C12" s="269">
        <v>29.92</v>
      </c>
      <c r="D12" s="270">
        <v>760</v>
      </c>
      <c r="E12" s="271">
        <v>14.696</v>
      </c>
      <c r="F12" s="272">
        <v>1.0333</v>
      </c>
      <c r="G12" s="273">
        <v>101.325</v>
      </c>
      <c r="H12" s="274">
        <f>G12/0.1</f>
        <v>1013.25</v>
      </c>
      <c r="I12" s="275">
        <v>1</v>
      </c>
      <c r="J12" s="234"/>
      <c r="K12" s="975"/>
      <c r="L12" s="1361" t="s">
        <v>162</v>
      </c>
      <c r="N12"/>
    </row>
    <row r="13" spans="1:14" ht="14.25" customHeight="1">
      <c r="A13" s="276">
        <v>500</v>
      </c>
      <c r="B13" s="277">
        <v>152.40004157473132</v>
      </c>
      <c r="C13" s="278">
        <v>29.384564550660073</v>
      </c>
      <c r="D13" s="278">
        <v>746.3679356585136</v>
      </c>
      <c r="E13" s="279">
        <v>14.43239892425989</v>
      </c>
      <c r="F13" s="280">
        <v>1.0147657735736082</v>
      </c>
      <c r="G13" s="281">
        <v>9.950754089552486</v>
      </c>
      <c r="H13" s="282">
        <v>995.0754089552486</v>
      </c>
      <c r="I13" s="283">
        <f>H13/$H$12</f>
        <v>0.9820630732348863</v>
      </c>
      <c r="J13" s="284"/>
      <c r="N13"/>
    </row>
    <row r="14" spans="1:14" ht="14.25" customHeight="1">
      <c r="A14" s="276">
        <v>1000</v>
      </c>
      <c r="B14" s="277">
        <v>304.80008314946264</v>
      </c>
      <c r="C14" s="278">
        <v>28.855690908981558</v>
      </c>
      <c r="D14" s="278">
        <v>732.9345452305814</v>
      </c>
      <c r="E14" s="278">
        <v>14.172639574616609</v>
      </c>
      <c r="F14" s="285">
        <v>0.9965016652457366</v>
      </c>
      <c r="G14" s="282">
        <v>9.771656946774822</v>
      </c>
      <c r="H14" s="282">
        <v>977.1656946774823</v>
      </c>
      <c r="I14" s="283">
        <f aca="true" t="shared" si="3" ref="I14:I50">H14/$H$12</f>
        <v>0.9643875595139229</v>
      </c>
      <c r="J14" s="284"/>
      <c r="K14" s="286"/>
      <c r="N14"/>
    </row>
    <row r="15" spans="1:21" ht="14.25" customHeight="1">
      <c r="A15" s="276">
        <v>1500</v>
      </c>
      <c r="B15" s="277">
        <v>457.20012472419404</v>
      </c>
      <c r="C15" s="278">
        <v>28.334551564961977</v>
      </c>
      <c r="D15" s="278">
        <v>719.6976059621521</v>
      </c>
      <c r="E15" s="278">
        <v>13.916678970026036</v>
      </c>
      <c r="F15" s="285">
        <v>0.9785046529482787</v>
      </c>
      <c r="G15" s="282">
        <v>9.59517893738356</v>
      </c>
      <c r="H15" s="287">
        <v>959.5178937383561</v>
      </c>
      <c r="I15" s="283">
        <f t="shared" si="3"/>
        <v>0.9469705341607264</v>
      </c>
      <c r="J15" s="284"/>
      <c r="K15" s="286"/>
      <c r="N15"/>
      <c r="U15" t="s">
        <v>164</v>
      </c>
    </row>
    <row r="16" spans="1:14" ht="14.25" customHeight="1">
      <c r="A16" s="276">
        <v>2000</v>
      </c>
      <c r="B16" s="277">
        <v>609.6001662989253</v>
      </c>
      <c r="C16" s="278">
        <v>27.821059689294888</v>
      </c>
      <c r="D16" s="278">
        <v>706.6549123888539</v>
      </c>
      <c r="E16" s="278">
        <v>13.664474463771835</v>
      </c>
      <c r="F16" s="285">
        <v>0.9607717381202667</v>
      </c>
      <c r="G16" s="282">
        <v>9.421290657605343</v>
      </c>
      <c r="H16" s="287">
        <v>942.1290657605343</v>
      </c>
      <c r="I16" s="283">
        <f t="shared" si="3"/>
        <v>0.9298090952484919</v>
      </c>
      <c r="J16" s="284"/>
      <c r="K16" s="286"/>
      <c r="N16"/>
    </row>
    <row r="17" spans="1:14" ht="14.25" customHeight="1">
      <c r="A17" s="276">
        <v>2500</v>
      </c>
      <c r="B17" s="277">
        <v>762.0002078736568</v>
      </c>
      <c r="C17" s="278">
        <v>27.315129130412103</v>
      </c>
      <c r="D17" s="278">
        <v>693.804276260866</v>
      </c>
      <c r="E17" s="278">
        <v>13.415983742012745</v>
      </c>
      <c r="F17" s="285">
        <v>0.9432999456057275</v>
      </c>
      <c r="G17" s="282">
        <v>9.249962933175295</v>
      </c>
      <c r="H17" s="287">
        <v>924.9962933175295</v>
      </c>
      <c r="I17" s="283">
        <f t="shared" si="3"/>
        <v>0.9129003635011395</v>
      </c>
      <c r="J17" s="284"/>
      <c r="K17" s="286"/>
      <c r="N17"/>
    </row>
    <row r="18" spans="1:14" ht="14.25" customHeight="1">
      <c r="A18" s="276">
        <v>3000</v>
      </c>
      <c r="B18" s="277">
        <v>914.4002494483881</v>
      </c>
      <c r="C18" s="278">
        <v>26.816674411528286</v>
      </c>
      <c r="D18" s="278">
        <v>681.1435264678526</v>
      </c>
      <c r="E18" s="278">
        <v>13.171164822331</v>
      </c>
      <c r="F18" s="285">
        <v>0.9260863235516212</v>
      </c>
      <c r="G18" s="282">
        <v>9.081166818336206</v>
      </c>
      <c r="H18" s="287">
        <v>908.1166818336205</v>
      </c>
      <c r="I18" s="283">
        <f t="shared" si="3"/>
        <v>0.8962414821945428</v>
      </c>
      <c r="J18" s="284"/>
      <c r="K18" s="286"/>
      <c r="N18"/>
    </row>
    <row r="19" spans="1:14" ht="14.25" customHeight="1">
      <c r="A19" s="276">
        <v>3500</v>
      </c>
      <c r="B19" s="277">
        <v>1066.8002910231194</v>
      </c>
      <c r="C19" s="278">
        <v>26.325610727688417</v>
      </c>
      <c r="D19" s="278">
        <v>668.6705089639673</v>
      </c>
      <c r="E19" s="278">
        <v>12.92997605228219</v>
      </c>
      <c r="F19" s="285">
        <v>0.9091279433058783</v>
      </c>
      <c r="G19" s="282">
        <v>8.914873594838683</v>
      </c>
      <c r="H19" s="287">
        <v>891.4873594838683</v>
      </c>
      <c r="I19" s="283">
        <f t="shared" si="3"/>
        <v>0.8798296170578518</v>
      </c>
      <c r="J19" s="284"/>
      <c r="K19" s="286"/>
      <c r="N19"/>
    </row>
    <row r="20" spans="1:14" ht="14.25" customHeight="1">
      <c r="A20" s="276">
        <v>4000</v>
      </c>
      <c r="B20" s="277">
        <v>1219.2003325978505</v>
      </c>
      <c r="C20" s="278">
        <v>25.84185394281768</v>
      </c>
      <c r="D20" s="278">
        <v>656.3830866929212</v>
      </c>
      <c r="E20" s="278">
        <v>12.692376107946277</v>
      </c>
      <c r="F20" s="285">
        <v>0.8924218993155205</v>
      </c>
      <c r="G20" s="282">
        <v>8.751054770942137</v>
      </c>
      <c r="H20" s="287">
        <v>875.1054770942137</v>
      </c>
      <c r="I20" s="283">
        <f t="shared" si="3"/>
        <v>0.8636619561748964</v>
      </c>
      <c r="J20" s="284"/>
      <c r="K20" s="286"/>
      <c r="N20"/>
    </row>
    <row r="21" spans="1:14" ht="14.25" customHeight="1">
      <c r="A21" s="276">
        <v>4500</v>
      </c>
      <c r="B21" s="277">
        <v>1371.6003741725822</v>
      </c>
      <c r="C21" s="278">
        <v>25.365320586774256</v>
      </c>
      <c r="D21" s="278">
        <v>644.2791395131234</v>
      </c>
      <c r="E21" s="278">
        <v>12.458323992480079</v>
      </c>
      <c r="F21" s="285">
        <v>0.8759653090248821</v>
      </c>
      <c r="G21" s="282">
        <v>8.58968208041674</v>
      </c>
      <c r="H21" s="287">
        <v>858.968208041674</v>
      </c>
      <c r="I21" s="283">
        <f t="shared" si="3"/>
        <v>0.8477357098856886</v>
      </c>
      <c r="J21" s="284"/>
      <c r="K21" s="286"/>
      <c r="N21"/>
    </row>
    <row r="22" spans="1:14" ht="14.25" customHeight="1">
      <c r="A22" s="276">
        <v>5000</v>
      </c>
      <c r="B22" s="277">
        <v>1524.0004157473136</v>
      </c>
      <c r="C22" s="278">
        <v>24.895927852404544</v>
      </c>
      <c r="D22" s="278">
        <v>632.356564122883</v>
      </c>
      <c r="E22" s="278">
        <v>12.227779034670904</v>
      </c>
      <c r="F22" s="285">
        <v>0.8597553127739146</v>
      </c>
      <c r="G22" s="282">
        <v>8.430727481546201</v>
      </c>
      <c r="H22" s="287">
        <v>843.0727481546201</v>
      </c>
      <c r="I22" s="283">
        <f t="shared" si="3"/>
        <v>0.832048110688004</v>
      </c>
      <c r="J22" s="284"/>
      <c r="K22" s="286"/>
      <c r="N22"/>
    </row>
    <row r="23" spans="1:14" ht="14.25" customHeight="1">
      <c r="A23" s="276">
        <v>6000</v>
      </c>
      <c r="B23" s="277">
        <v>1828.8004988967762</v>
      </c>
      <c r="C23" s="278">
        <v>23.978236317363535</v>
      </c>
      <c r="D23" s="278">
        <v>609.0471992555223</v>
      </c>
      <c r="E23" s="278">
        <v>11.777049526656782</v>
      </c>
      <c r="F23" s="285">
        <v>0.8280637776193832</v>
      </c>
      <c r="G23" s="282">
        <v>8.1199615084955</v>
      </c>
      <c r="H23" s="287">
        <v>811.99615084955</v>
      </c>
      <c r="I23" s="283">
        <f t="shared" si="3"/>
        <v>0.8013778937572662</v>
      </c>
      <c r="J23" s="284"/>
      <c r="K23" s="286"/>
      <c r="N23"/>
    </row>
    <row r="24" spans="1:14" ht="14.25" customHeight="1">
      <c r="A24" s="276">
        <v>7000</v>
      </c>
      <c r="B24" s="277">
        <v>2133.6005820462387</v>
      </c>
      <c r="C24" s="278">
        <v>23.088130028500455</v>
      </c>
      <c r="D24" s="278">
        <v>586.4384996373932</v>
      </c>
      <c r="E24" s="278">
        <v>11.339868671935697</v>
      </c>
      <c r="F24" s="285">
        <v>0.797324870625419</v>
      </c>
      <c r="G24" s="282">
        <v>7.818536970494587</v>
      </c>
      <c r="H24" s="287">
        <v>781.8536970494587</v>
      </c>
      <c r="I24" s="283">
        <f t="shared" si="3"/>
        <v>0.7716296047860436</v>
      </c>
      <c r="J24" s="284"/>
      <c r="K24" s="286"/>
      <c r="N24"/>
    </row>
    <row r="25" spans="1:14" ht="14.25" customHeight="1">
      <c r="A25" s="276">
        <v>8000</v>
      </c>
      <c r="B25" s="277">
        <v>2438.400665195701</v>
      </c>
      <c r="C25" s="278">
        <v>22.224970096421423</v>
      </c>
      <c r="D25" s="278">
        <v>564.5142374779766</v>
      </c>
      <c r="E25" s="278">
        <v>10.915922676284662</v>
      </c>
      <c r="F25" s="285">
        <v>0.7675165284026227</v>
      </c>
      <c r="G25" s="282">
        <v>7.52623751479684</v>
      </c>
      <c r="H25" s="287">
        <v>752.623751479684</v>
      </c>
      <c r="I25" s="283">
        <f t="shared" si="3"/>
        <v>0.7427818914183902</v>
      </c>
      <c r="J25" s="284"/>
      <c r="K25" s="286"/>
      <c r="N25"/>
    </row>
    <row r="26" spans="1:14" ht="14.25" customHeight="1">
      <c r="A26" s="276">
        <v>9000</v>
      </c>
      <c r="B26" s="277">
        <v>2743.2007483451644</v>
      </c>
      <c r="C26" s="278">
        <v>21.388127957774287</v>
      </c>
      <c r="D26" s="278">
        <v>543.258447268212</v>
      </c>
      <c r="E26" s="278">
        <v>10.504902817175845</v>
      </c>
      <c r="F26" s="285">
        <v>0.7386170441608466</v>
      </c>
      <c r="G26" s="282">
        <v>7.242850285454154</v>
      </c>
      <c r="H26" s="287">
        <v>724.2850285454155</v>
      </c>
      <c r="I26" s="283">
        <f t="shared" si="3"/>
        <v>0.7148137464055421</v>
      </c>
      <c r="J26" s="284"/>
      <c r="N26"/>
    </row>
    <row r="27" spans="1:14" ht="14.25" customHeight="1">
      <c r="A27" s="276">
        <v>10000</v>
      </c>
      <c r="B27" s="277">
        <v>3048.000831494627</v>
      </c>
      <c r="C27" s="278">
        <v>20.576985281663344</v>
      </c>
      <c r="D27" s="278">
        <v>522.655423403431</v>
      </c>
      <c r="E27" s="278">
        <v>10.106505397811606</v>
      </c>
      <c r="F27" s="285">
        <v>0.7106050644773227</v>
      </c>
      <c r="G27" s="282">
        <v>6.968165891625348</v>
      </c>
      <c r="H27" s="287">
        <v>696.8165891625348</v>
      </c>
      <c r="I27" s="283">
        <f t="shared" si="3"/>
        <v>0.6877045044781986</v>
      </c>
      <c r="J27" s="284"/>
      <c r="N27"/>
    </row>
    <row r="28" spans="1:14" ht="14.25" customHeight="1">
      <c r="A28" s="276">
        <v>15000</v>
      </c>
      <c r="B28" s="277">
        <v>4572.00124724194</v>
      </c>
      <c r="C28" s="278">
        <v>16.885826774651502</v>
      </c>
      <c r="D28" s="278">
        <v>428.89999781877975</v>
      </c>
      <c r="E28" s="282">
        <v>8.293571536769456</v>
      </c>
      <c r="F28" s="285">
        <v>0.5831346944028226</v>
      </c>
      <c r="G28" s="282">
        <v>5.718196352498403</v>
      </c>
      <c r="H28" s="287">
        <v>571.8196352498403</v>
      </c>
      <c r="I28" s="283">
        <f t="shared" si="3"/>
        <v>0.5643421023931313</v>
      </c>
      <c r="J28" s="284"/>
      <c r="N28"/>
    </row>
    <row r="29" spans="1:14" ht="14.25" customHeight="1">
      <c r="A29" s="276">
        <v>20000</v>
      </c>
      <c r="B29" s="277">
        <v>6096.001662989254</v>
      </c>
      <c r="C29" s="278">
        <v>13.750125888664355</v>
      </c>
      <c r="D29" s="278">
        <v>349.25319573389993</v>
      </c>
      <c r="E29" s="282">
        <v>6.753453900664991</v>
      </c>
      <c r="F29" s="285">
        <v>0.47484648309452476</v>
      </c>
      <c r="G29" s="282">
        <v>4.6563263233865015</v>
      </c>
      <c r="H29" s="287">
        <v>465.6326323386501</v>
      </c>
      <c r="I29" s="283">
        <f t="shared" si="3"/>
        <v>0.4595436785972367</v>
      </c>
      <c r="J29" s="284"/>
      <c r="N29"/>
    </row>
    <row r="30" spans="1:14" ht="14.25" customHeight="1">
      <c r="A30" s="276">
        <v>25000</v>
      </c>
      <c r="B30" s="277">
        <v>7620.002078736567</v>
      </c>
      <c r="C30" s="278">
        <v>11.103545562450465</v>
      </c>
      <c r="D30" s="278">
        <v>282.0300558018731</v>
      </c>
      <c r="E30" s="282">
        <v>5.453570657979378</v>
      </c>
      <c r="F30" s="285">
        <v>0.3834495482369415</v>
      </c>
      <c r="G30" s="282">
        <v>3.760091500542736</v>
      </c>
      <c r="H30" s="287">
        <v>376.0091500542736</v>
      </c>
      <c r="I30" s="283">
        <f t="shared" si="3"/>
        <v>0.37109217868667516</v>
      </c>
      <c r="J30" s="284"/>
      <c r="N30"/>
    </row>
    <row r="31" spans="1:14" ht="14.25" customHeight="1">
      <c r="A31" s="276">
        <v>30000</v>
      </c>
      <c r="B31" s="277">
        <v>9144.00249448388</v>
      </c>
      <c r="C31" s="278">
        <v>8.885451256265807</v>
      </c>
      <c r="D31" s="278">
        <v>225.69046072130698</v>
      </c>
      <c r="E31" s="282">
        <v>4.364140803632009</v>
      </c>
      <c r="F31" s="285">
        <v>0.3068499382412191</v>
      </c>
      <c r="G31" s="282">
        <v>3.0089586753403195</v>
      </c>
      <c r="H31" s="287">
        <v>300.89586753403194</v>
      </c>
      <c r="I31" s="283">
        <f t="shared" si="3"/>
        <v>0.29696113252803547</v>
      </c>
      <c r="J31" s="284"/>
      <c r="N31"/>
    </row>
    <row r="32" spans="1:14" ht="14.25" customHeight="1">
      <c r="A32" s="276">
        <v>35000</v>
      </c>
      <c r="B32" s="277">
        <v>10668.002910231195</v>
      </c>
      <c r="C32" s="278">
        <v>7.040627004550249</v>
      </c>
      <c r="D32" s="278">
        <v>178.83192497435567</v>
      </c>
      <c r="E32" s="282">
        <v>3.4580446966093827</v>
      </c>
      <c r="F32" s="285">
        <v>0.24314082641579177</v>
      </c>
      <c r="G32" s="282">
        <v>2.3842295786877092</v>
      </c>
      <c r="H32" s="287">
        <v>238.4229578687709</v>
      </c>
      <c r="I32" s="283">
        <f t="shared" si="3"/>
        <v>0.23530516443994168</v>
      </c>
      <c r="J32" s="284"/>
      <c r="N32"/>
    </row>
    <row r="33" spans="1:14" ht="14.25" customHeight="1">
      <c r="A33" s="276">
        <v>40000</v>
      </c>
      <c r="B33" s="277">
        <v>12192.003325978509</v>
      </c>
      <c r="C33" s="278">
        <v>5.537967587497429</v>
      </c>
      <c r="D33" s="278">
        <v>140.66437598209586</v>
      </c>
      <c r="E33" s="282">
        <v>2.720004828201159</v>
      </c>
      <c r="F33" s="285">
        <v>0.19124802592407852</v>
      </c>
      <c r="G33" s="282">
        <v>1.8753707758402454</v>
      </c>
      <c r="H33" s="287">
        <v>187.53707758402453</v>
      </c>
      <c r="I33" s="283">
        <f t="shared" si="3"/>
        <v>0.18508470523959983</v>
      </c>
      <c r="J33" s="284"/>
      <c r="N33"/>
    </row>
    <row r="34" spans="1:14" ht="14.25" customHeight="1">
      <c r="A34" s="276">
        <v>45000</v>
      </c>
      <c r="B34" s="277">
        <v>13716.00374172582</v>
      </c>
      <c r="C34" s="278">
        <v>4.354938202947688</v>
      </c>
      <c r="D34" s="278">
        <v>110.6154297726848</v>
      </c>
      <c r="E34" s="282">
        <v>2.138953099920231</v>
      </c>
      <c r="F34" s="285">
        <v>0.15039332050541476</v>
      </c>
      <c r="G34" s="282">
        <v>1.4747511081206957</v>
      </c>
      <c r="H34" s="287">
        <v>147.47511081206957</v>
      </c>
      <c r="I34" s="283">
        <f t="shared" si="3"/>
        <v>0.14554661812195369</v>
      </c>
      <c r="J34" s="284"/>
      <c r="N34"/>
    </row>
    <row r="35" spans="1:14" ht="14.25" customHeight="1">
      <c r="A35" s="276">
        <v>50000</v>
      </c>
      <c r="B35" s="277">
        <v>15240.004157473133</v>
      </c>
      <c r="C35" s="278">
        <v>3.4246294243956767</v>
      </c>
      <c r="D35" s="278">
        <v>86.98558692183131</v>
      </c>
      <c r="E35" s="282">
        <v>1.682026559741096</v>
      </c>
      <c r="F35" s="285">
        <v>0.1182660617978004</v>
      </c>
      <c r="G35" s="282">
        <v>1.1597124466913893</v>
      </c>
      <c r="H35" s="287">
        <v>115.97124466913893</v>
      </c>
      <c r="I35" s="283">
        <f t="shared" si="3"/>
        <v>0.11445471963398858</v>
      </c>
      <c r="J35" s="284"/>
      <c r="N35"/>
    </row>
    <row r="36" spans="1:14" ht="14.25" customHeight="1">
      <c r="A36" s="276">
        <v>55000</v>
      </c>
      <c r="B36" s="277">
        <v>16764.004573220445</v>
      </c>
      <c r="C36" s="278">
        <v>2.693054676757154</v>
      </c>
      <c r="D36" s="278">
        <v>68.40358842961282</v>
      </c>
      <c r="E36" s="282">
        <v>1.322709388896829</v>
      </c>
      <c r="F36" s="285">
        <v>0.09300187884778809</v>
      </c>
      <c r="G36" s="282">
        <v>0.9119728417934894</v>
      </c>
      <c r="H36" s="287">
        <v>91.19728417934894</v>
      </c>
      <c r="I36" s="288">
        <f t="shared" si="3"/>
        <v>0.0900047216179116</v>
      </c>
      <c r="J36" s="289"/>
      <c r="N36"/>
    </row>
    <row r="37" spans="1:14" ht="14.25" customHeight="1">
      <c r="A37" s="276">
        <v>60000</v>
      </c>
      <c r="B37" s="277">
        <v>18288.00498896776</v>
      </c>
      <c r="C37" s="278">
        <v>2.1177600824017304</v>
      </c>
      <c r="D37" s="278">
        <v>53.79110580989287</v>
      </c>
      <c r="E37" s="282">
        <v>1.040150119713402</v>
      </c>
      <c r="F37" s="285">
        <v>0.07313467057021357</v>
      </c>
      <c r="G37" s="282">
        <v>0.7171557626562363</v>
      </c>
      <c r="H37" s="287">
        <v>71.71557626562362</v>
      </c>
      <c r="I37" s="288">
        <f t="shared" si="3"/>
        <v>0.07077777080249062</v>
      </c>
      <c r="J37" s="289"/>
      <c r="N37"/>
    </row>
    <row r="38" spans="1:14" ht="14.25" customHeight="1">
      <c r="A38" s="276">
        <v>70000</v>
      </c>
      <c r="B38" s="277">
        <v>21336.00582046239</v>
      </c>
      <c r="C38" s="278">
        <v>1.3104792358016983</v>
      </c>
      <c r="D38" s="278">
        <v>33.28617241417276</v>
      </c>
      <c r="E38" s="282">
        <v>0.6436494602614248</v>
      </c>
      <c r="F38" s="285">
        <v>0.045256055204690414</v>
      </c>
      <c r="G38" s="282">
        <v>0.44377913419290194</v>
      </c>
      <c r="H38" s="287">
        <v>44.377913419290195</v>
      </c>
      <c r="I38" s="288">
        <f t="shared" si="3"/>
        <v>0.04379759528180626</v>
      </c>
      <c r="J38" s="289"/>
      <c r="N38"/>
    </row>
    <row r="39" spans="1:14" ht="14.25" customHeight="1">
      <c r="A39" s="276">
        <v>80000</v>
      </c>
      <c r="B39" s="277">
        <v>24384.006651957017</v>
      </c>
      <c r="C39" s="278">
        <v>0.8154730001298361</v>
      </c>
      <c r="D39" s="278">
        <v>20.713014094281977</v>
      </c>
      <c r="E39" s="282">
        <v>0.4005242830652209</v>
      </c>
      <c r="F39" s="285">
        <v>0.02816152297844943</v>
      </c>
      <c r="G39" s="282">
        <v>0.2761508096188317</v>
      </c>
      <c r="H39" s="287">
        <v>27.615080961883173</v>
      </c>
      <c r="I39" s="288">
        <f t="shared" si="3"/>
        <v>0.027253965913528914</v>
      </c>
      <c r="J39" s="289"/>
      <c r="N39"/>
    </row>
    <row r="40" spans="1:14" ht="14.25" customHeight="1">
      <c r="A40" s="276">
        <v>90000</v>
      </c>
      <c r="B40" s="277">
        <v>27432.00748345164</v>
      </c>
      <c r="C40" s="278">
        <v>0.5107526550664439</v>
      </c>
      <c r="D40" s="278">
        <v>12.97311737040811</v>
      </c>
      <c r="E40" s="282">
        <v>0.25085912220462836</v>
      </c>
      <c r="F40" s="285">
        <v>0.017638318656371974</v>
      </c>
      <c r="G40" s="282">
        <v>0.17296067336271076</v>
      </c>
      <c r="H40" s="287">
        <v>17.296067336271076</v>
      </c>
      <c r="I40" s="288">
        <f t="shared" si="3"/>
        <v>0.017069891276852777</v>
      </c>
      <c r="J40" s="289"/>
      <c r="N40"/>
    </row>
    <row r="41" spans="1:14" ht="14.25" customHeight="1">
      <c r="A41" s="276">
        <v>100000</v>
      </c>
      <c r="B41" s="277">
        <v>30480.008314946266</v>
      </c>
      <c r="C41" s="278">
        <v>0.32192673048019915</v>
      </c>
      <c r="D41" s="278">
        <v>8.176938911160539</v>
      </c>
      <c r="E41" s="282">
        <v>0.15811617662949376</v>
      </c>
      <c r="F41" s="285">
        <v>0.011117409180134454</v>
      </c>
      <c r="G41" s="282">
        <v>0.10901688620701863</v>
      </c>
      <c r="H41" s="287">
        <v>10.901688620701863</v>
      </c>
      <c r="I41" s="288">
        <f t="shared" si="3"/>
        <v>0.010759130146263868</v>
      </c>
      <c r="J41" s="289"/>
      <c r="N41"/>
    </row>
    <row r="42" spans="1:14" ht="14.25" customHeight="1">
      <c r="A42" s="276">
        <v>120000</v>
      </c>
      <c r="B42" s="277">
        <v>36576.00997793552</v>
      </c>
      <c r="C42" s="278">
        <v>0.12937856884065624</v>
      </c>
      <c r="D42" s="278">
        <v>3.286215631256797</v>
      </c>
      <c r="E42" s="282">
        <v>0.06354503278546038</v>
      </c>
      <c r="F42" s="285">
        <v>0.004467956068128485</v>
      </c>
      <c r="G42" s="282">
        <v>0.04381260511014407</v>
      </c>
      <c r="H42" s="287">
        <v>4.381260511014407</v>
      </c>
      <c r="I42" s="291">
        <f t="shared" si="3"/>
        <v>0.004323967935864206</v>
      </c>
      <c r="J42" s="290"/>
      <c r="N42"/>
    </row>
    <row r="43" spans="1:14" ht="14.25" customHeight="1">
      <c r="A43" s="276">
        <v>140000</v>
      </c>
      <c r="B43" s="277">
        <v>42672.01164092477</v>
      </c>
      <c r="C43" s="278">
        <v>0.05727379564649034</v>
      </c>
      <c r="D43" s="278">
        <v>1.6927576751595887</v>
      </c>
      <c r="E43" s="282">
        <v>0.03273258788703331</v>
      </c>
      <c r="F43" s="285">
        <v>0.002301482244397899</v>
      </c>
      <c r="G43" s="282">
        <v>0.022568246241519124</v>
      </c>
      <c r="H43" s="287">
        <v>2.2568246241519123</v>
      </c>
      <c r="I43" s="291">
        <f t="shared" si="3"/>
        <v>0.0022273127304731433</v>
      </c>
      <c r="J43" s="290"/>
      <c r="N43"/>
    </row>
    <row r="44" spans="1:15" ht="14.25" customHeight="1">
      <c r="A44" s="276">
        <v>160000</v>
      </c>
      <c r="B44" s="277">
        <v>48768.01330391403</v>
      </c>
      <c r="C44" s="278">
        <v>0.026199269778022123</v>
      </c>
      <c r="D44" s="278">
        <v>0.6654614488593333</v>
      </c>
      <c r="E44" s="282">
        <v>0.01286792296373258</v>
      </c>
      <c r="F44" s="285">
        <v>0.0009047648882978278</v>
      </c>
      <c r="G44" s="282">
        <v>0.008872089645483151</v>
      </c>
      <c r="H44" s="287">
        <v>0.8872089645483151</v>
      </c>
      <c r="I44" s="291">
        <f t="shared" si="3"/>
        <v>0.0008756071695517544</v>
      </c>
      <c r="J44" s="292"/>
      <c r="N44"/>
      <c r="O44" s="293"/>
    </row>
    <row r="45" spans="1:15" ht="14.25" customHeight="1">
      <c r="A45" s="276">
        <v>180000</v>
      </c>
      <c r="B45" s="277">
        <v>54864.014966903276</v>
      </c>
      <c r="C45" s="278">
        <v>0.012016334338732995</v>
      </c>
      <c r="D45" s="278">
        <v>0.3052148905974239</v>
      </c>
      <c r="E45" s="282">
        <v>0.005901892147657555</v>
      </c>
      <c r="F45" s="285">
        <v>0.0004149717716504187</v>
      </c>
      <c r="G45" s="282">
        <v>0.004069197209182102</v>
      </c>
      <c r="H45" s="287">
        <v>0.40691972091821027</v>
      </c>
      <c r="I45" s="291">
        <f t="shared" si="3"/>
        <v>0.0004015985402597683</v>
      </c>
      <c r="J45" s="292"/>
      <c r="N45"/>
      <c r="O45" s="294"/>
    </row>
    <row r="46" spans="1:14" ht="14.25" customHeight="1">
      <c r="A46" s="276">
        <v>200000</v>
      </c>
      <c r="B46" s="277">
        <v>60960.01662989253</v>
      </c>
      <c r="C46" s="278">
        <v>0.005244661360498573</v>
      </c>
      <c r="D46" s="278">
        <v>0.13321439785553535</v>
      </c>
      <c r="E46" s="282">
        <v>0.002575945777480194</v>
      </c>
      <c r="F46" s="285">
        <v>0.00018111899645279565</v>
      </c>
      <c r="G46" s="282">
        <v>0.0017760459029884368</v>
      </c>
      <c r="H46" s="287">
        <v>0.17760459029884368</v>
      </c>
      <c r="I46" s="291">
        <f t="shared" si="3"/>
        <v>0.0001752821024414939</v>
      </c>
      <c r="J46" s="292"/>
      <c r="N46"/>
    </row>
    <row r="47" spans="1:14" ht="14.25" customHeight="1">
      <c r="A47" s="276">
        <v>220000</v>
      </c>
      <c r="B47" s="277">
        <v>67056.01829288178</v>
      </c>
      <c r="C47" s="278">
        <v>0.0021547768748772264</v>
      </c>
      <c r="D47" s="278">
        <v>0.05473133233382191</v>
      </c>
      <c r="E47" s="282">
        <v>0.0010583311315497984</v>
      </c>
      <c r="F47" s="285">
        <v>7.441300750070814E-05</v>
      </c>
      <c r="G47" s="282">
        <v>0.0007296910853584874</v>
      </c>
      <c r="H47" s="287">
        <v>0.07296910853584875</v>
      </c>
      <c r="I47" s="291">
        <f t="shared" si="3"/>
        <v>7.201491096555514E-05</v>
      </c>
      <c r="J47" s="292"/>
      <c r="N47"/>
    </row>
    <row r="48" spans="1:18" ht="14.25" customHeight="1">
      <c r="A48" s="276">
        <v>240000</v>
      </c>
      <c r="B48" s="277">
        <v>73152.01995587104</v>
      </c>
      <c r="C48" s="278">
        <v>0.0008266327223218715</v>
      </c>
      <c r="D48" s="278">
        <v>0.020996471036467793</v>
      </c>
      <c r="E48" s="282">
        <v>0.0004060054451999088</v>
      </c>
      <c r="F48" s="285">
        <v>2.8546912528923912E-05</v>
      </c>
      <c r="G48" s="282">
        <v>0.000279929924706592</v>
      </c>
      <c r="H48" s="287">
        <v>0.0279929924706592</v>
      </c>
      <c r="I48" s="291">
        <f t="shared" si="3"/>
        <v>2.762693557429973E-05</v>
      </c>
      <c r="J48" s="292"/>
      <c r="N48"/>
      <c r="R48" s="295"/>
    </row>
    <row r="49" spans="1:18" ht="14.25" customHeight="1">
      <c r="A49" s="276">
        <v>260000</v>
      </c>
      <c r="B49" s="277">
        <v>79248.0216188603</v>
      </c>
      <c r="C49" s="296">
        <v>0.0002980981900233221</v>
      </c>
      <c r="D49" s="296">
        <v>0.007571693986741361</v>
      </c>
      <c r="E49" s="287">
        <v>0.0001464126510909882</v>
      </c>
      <c r="F49" s="297">
        <v>1.0294514995394538E-05</v>
      </c>
      <c r="G49" s="287">
        <v>0.00010094761752718005</v>
      </c>
      <c r="H49" s="287">
        <v>0.010094761752718005</v>
      </c>
      <c r="I49" s="291">
        <f t="shared" si="3"/>
        <v>9.962755245712317E-06</v>
      </c>
      <c r="J49" s="292"/>
      <c r="N49"/>
      <c r="R49" s="295"/>
    </row>
    <row r="50" spans="1:18" ht="14.25" customHeight="1">
      <c r="A50" s="298">
        <v>280000</v>
      </c>
      <c r="B50" s="299">
        <v>85344.02328184954</v>
      </c>
      <c r="C50" s="300">
        <v>0.00010075429719725578</v>
      </c>
      <c r="D50" s="300">
        <v>0.0025591591353410384</v>
      </c>
      <c r="E50" s="301">
        <v>4.9486056122331446E-05</v>
      </c>
      <c r="F50" s="302">
        <v>3.479446229668283E-06</v>
      </c>
      <c r="G50" s="301">
        <v>3.411931570900404E-05</v>
      </c>
      <c r="H50" s="301">
        <v>0.003411931570900404</v>
      </c>
      <c r="I50" s="303">
        <f t="shared" si="3"/>
        <v>3.367314651764524E-06</v>
      </c>
      <c r="J50" s="292"/>
      <c r="N50"/>
      <c r="R50" s="295"/>
    </row>
    <row r="51" spans="1:18" ht="14.25" customHeight="1">
      <c r="A51" s="304" t="s">
        <v>165</v>
      </c>
      <c r="B51" s="305"/>
      <c r="N51"/>
      <c r="R51" s="295"/>
    </row>
    <row r="52" spans="14:18" ht="14.25" customHeight="1">
      <c r="N52"/>
      <c r="R52" s="295"/>
    </row>
    <row r="53" spans="1:18" ht="14.25" customHeight="1">
      <c r="A53" s="974" t="s">
        <v>387</v>
      </c>
      <c r="B53" s="318"/>
      <c r="N53"/>
      <c r="R53" s="295"/>
    </row>
    <row r="54" spans="1:18" ht="14.25" customHeight="1">
      <c r="A54" s="306" t="s">
        <v>166</v>
      </c>
      <c r="B54" s="307"/>
      <c r="N54"/>
      <c r="R54" s="295"/>
    </row>
    <row r="55" spans="1:18" ht="14.25" customHeight="1">
      <c r="A55" s="306"/>
      <c r="B55" s="305" t="s">
        <v>382</v>
      </c>
      <c r="N55"/>
      <c r="R55" s="295"/>
    </row>
    <row r="56" spans="1:2" ht="14.25" customHeight="1">
      <c r="A56" s="306" t="s">
        <v>167</v>
      </c>
      <c r="B56" s="305"/>
    </row>
    <row r="57" spans="1:2" ht="14.25" customHeight="1">
      <c r="A57" s="304"/>
      <c r="B57" s="305" t="s">
        <v>168</v>
      </c>
    </row>
    <row r="58" ht="14.25" customHeight="1">
      <c r="N58"/>
    </row>
    <row r="59" ht="14.25" customHeight="1">
      <c r="N59"/>
    </row>
    <row r="60" ht="14.25" customHeight="1">
      <c r="N60"/>
    </row>
    <row r="61" ht="14.25" customHeight="1">
      <c r="N61"/>
    </row>
    <row r="62" ht="14.25" customHeight="1">
      <c r="N62"/>
    </row>
    <row r="63" ht="14.25" customHeight="1">
      <c r="N63"/>
    </row>
    <row r="64" ht="14.25" customHeight="1">
      <c r="N64"/>
    </row>
    <row r="65" ht="14.25" customHeight="1">
      <c r="N65"/>
    </row>
    <row r="66" ht="14.25" customHeight="1">
      <c r="N66"/>
    </row>
    <row r="67" ht="14.25" customHeight="1">
      <c r="N67"/>
    </row>
    <row r="68" ht="14.25" customHeight="1">
      <c r="N68"/>
    </row>
    <row r="69" ht="14.25" customHeight="1">
      <c r="N69"/>
    </row>
    <row r="70" ht="14.25" customHeight="1">
      <c r="N70"/>
    </row>
    <row r="71" ht="14.25" customHeight="1">
      <c r="N71"/>
    </row>
    <row r="72" ht="14.25" customHeight="1">
      <c r="N72"/>
    </row>
    <row r="73" ht="14.25" customHeight="1">
      <c r="N73"/>
    </row>
    <row r="74" ht="14.25" customHeight="1">
      <c r="N74"/>
    </row>
    <row r="75" ht="14.25" customHeight="1">
      <c r="N75"/>
    </row>
    <row r="76" ht="14.25" customHeight="1">
      <c r="N76"/>
    </row>
    <row r="77" ht="14.25" customHeight="1">
      <c r="N77"/>
    </row>
    <row r="78" ht="14.25" customHeight="1">
      <c r="N78"/>
    </row>
    <row r="79" ht="14.25" customHeight="1">
      <c r="N79"/>
    </row>
    <row r="80" ht="14.25" customHeight="1">
      <c r="N80"/>
    </row>
    <row r="81" ht="14.25" customHeight="1">
      <c r="N81"/>
    </row>
    <row r="82" ht="14.25" customHeight="1">
      <c r="N82"/>
    </row>
    <row r="83" ht="14.25" customHeight="1">
      <c r="N83"/>
    </row>
    <row r="84" ht="14.25" customHeight="1">
      <c r="N84"/>
    </row>
    <row r="85" ht="14.25" customHeight="1">
      <c r="N85"/>
    </row>
    <row r="86" ht="14.25" customHeight="1">
      <c r="N86"/>
    </row>
  </sheetData>
  <sheetProtection sheet="1"/>
  <mergeCells count="10">
    <mergeCell ref="L9:L11"/>
    <mergeCell ref="J7:K7"/>
    <mergeCell ref="L7:L8"/>
    <mergeCell ref="J9:K9"/>
    <mergeCell ref="A1:I1"/>
    <mergeCell ref="A3:B3"/>
    <mergeCell ref="C3:D3"/>
    <mergeCell ref="E3:H3"/>
    <mergeCell ref="L4:L6"/>
    <mergeCell ref="J5:K5"/>
  </mergeCells>
  <printOptions/>
  <pageMargins left="0.7" right="0.7" top="0.75" bottom="0.75" header="0.5118055555555555" footer="0.511805555555555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S105"/>
  <sheetViews>
    <sheetView showGridLines="0" zoomScalePageLayoutView="0" workbookViewId="0" topLeftCell="A1">
      <selection activeCell="A1" sqref="A1:H1"/>
    </sheetView>
  </sheetViews>
  <sheetFormatPr defaultColWidth="9.140625" defaultRowHeight="15"/>
  <cols>
    <col min="1" max="2" width="10.7109375" style="307" customWidth="1"/>
    <col min="3" max="3" width="10.7109375" style="1349" customWidth="1"/>
    <col min="4" max="4" width="10.7109375" style="307" customWidth="1"/>
    <col min="5" max="8" width="8.28125" style="307" customWidth="1"/>
    <col min="9" max="10" width="1.7109375" style="307" customWidth="1"/>
    <col min="11" max="11" width="7.7109375" style="307" customWidth="1"/>
    <col min="12" max="12" width="2.7109375" style="307" customWidth="1"/>
    <col min="13" max="13" width="7.7109375" style="307" customWidth="1"/>
    <col min="14" max="14" width="2.7109375" style="307" customWidth="1"/>
    <col min="15" max="15" width="7.7109375" style="307" customWidth="1"/>
    <col min="16" max="16" width="2.7109375" style="307" customWidth="1"/>
    <col min="17" max="17" width="9.140625" style="307" customWidth="1"/>
    <col min="18" max="16384" width="9.140625" style="307" customWidth="1"/>
  </cols>
  <sheetData>
    <row r="1" spans="1:8" ht="18.75">
      <c r="A1" s="1099" t="s">
        <v>356</v>
      </c>
      <c r="B1" s="1099"/>
      <c r="C1" s="1099"/>
      <c r="D1" s="1099"/>
      <c r="E1" s="1099"/>
      <c r="F1" s="1099"/>
      <c r="G1" s="1099"/>
      <c r="H1" s="1099"/>
    </row>
    <row r="2" spans="1:16" ht="15" customHeight="1">
      <c r="A2" s="308"/>
      <c r="B2" s="175"/>
      <c r="C2" s="1346"/>
      <c r="D2" s="175"/>
      <c r="E2" s="175"/>
      <c r="F2" s="175"/>
      <c r="G2" s="175"/>
      <c r="H2" s="309"/>
      <c r="J2" s="310"/>
      <c r="K2" s="310"/>
      <c r="L2" s="310"/>
      <c r="M2" s="310"/>
      <c r="N2" s="310"/>
      <c r="O2" s="310"/>
      <c r="P2" s="310"/>
    </row>
    <row r="3" spans="1:18" ht="15">
      <c r="A3" s="1100" t="s">
        <v>169</v>
      </c>
      <c r="B3" s="1100"/>
      <c r="C3" s="1100"/>
      <c r="D3" s="1100"/>
      <c r="E3" s="1101" t="s">
        <v>170</v>
      </c>
      <c r="F3" s="1101"/>
      <c r="G3" s="1102" t="s">
        <v>171</v>
      </c>
      <c r="H3" s="1102"/>
      <c r="I3" s="312"/>
      <c r="J3" s="1103" t="s">
        <v>386</v>
      </c>
      <c r="K3" s="1103"/>
      <c r="L3" s="1103"/>
      <c r="M3" s="1103"/>
      <c r="N3" s="1103"/>
      <c r="O3" s="1103"/>
      <c r="P3" s="1103"/>
      <c r="Q3" s="312"/>
      <c r="R3" s="263"/>
    </row>
    <row r="4" spans="1:18" ht="26.25" customHeight="1">
      <c r="A4" s="1104" t="s">
        <v>147</v>
      </c>
      <c r="B4" s="1104"/>
      <c r="C4" s="1105" t="s">
        <v>148</v>
      </c>
      <c r="D4" s="1106" t="s">
        <v>149</v>
      </c>
      <c r="E4" s="313" t="s">
        <v>67</v>
      </c>
      <c r="F4" s="314"/>
      <c r="G4" s="315"/>
      <c r="H4" s="316" t="s">
        <v>67</v>
      </c>
      <c r="I4" s="317"/>
      <c r="J4" s="962"/>
      <c r="K4" s="963" t="s">
        <v>172</v>
      </c>
      <c r="L4" s="962"/>
      <c r="M4" s="962"/>
      <c r="N4" s="962"/>
      <c r="O4" s="962"/>
      <c r="P4" s="964"/>
      <c r="Q4" s="312"/>
      <c r="R4" s="263"/>
    </row>
    <row r="5" spans="1:18" ht="14.25" customHeight="1">
      <c r="A5" s="1104"/>
      <c r="B5" s="1104"/>
      <c r="C5" s="1105"/>
      <c r="D5" s="1106"/>
      <c r="E5" s="319"/>
      <c r="F5" s="1107" t="s">
        <v>174</v>
      </c>
      <c r="G5" s="1107"/>
      <c r="H5" s="320"/>
      <c r="I5" s="317"/>
      <c r="J5" s="965"/>
      <c r="K5" s="991">
        <v>0.20945</v>
      </c>
      <c r="L5" s="965"/>
      <c r="M5" s="965"/>
      <c r="N5" s="965"/>
      <c r="O5" s="965"/>
      <c r="P5" s="966"/>
      <c r="Q5" s="312"/>
      <c r="R5" s="263"/>
    </row>
    <row r="6" spans="1:18" ht="14.25" customHeight="1">
      <c r="A6" s="321" t="s">
        <v>151</v>
      </c>
      <c r="B6" s="322" t="s">
        <v>175</v>
      </c>
      <c r="C6" s="1347" t="s">
        <v>176</v>
      </c>
      <c r="D6" s="323" t="s">
        <v>55</v>
      </c>
      <c r="E6" s="324" t="s">
        <v>357</v>
      </c>
      <c r="F6" s="325" t="s">
        <v>151</v>
      </c>
      <c r="G6" s="238" t="s">
        <v>334</v>
      </c>
      <c r="H6" s="326" t="s">
        <v>55</v>
      </c>
      <c r="I6" s="317"/>
      <c r="J6" s="967"/>
      <c r="K6" s="968" t="s">
        <v>383</v>
      </c>
      <c r="L6" s="969"/>
      <c r="M6" s="970" t="s">
        <v>384</v>
      </c>
      <c r="N6" s="969"/>
      <c r="O6" s="971" t="s">
        <v>385</v>
      </c>
      <c r="P6" s="972"/>
      <c r="Q6" s="312"/>
      <c r="R6" s="263"/>
    </row>
    <row r="7" spans="1:18" ht="15">
      <c r="A7" s="1352">
        <v>0</v>
      </c>
      <c r="B7" s="1353">
        <v>0</v>
      </c>
      <c r="C7" s="1354">
        <v>29.92126</v>
      </c>
      <c r="D7" s="1354">
        <v>1013.2500000000001</v>
      </c>
      <c r="E7" s="1108">
        <v>999.9999962686885</v>
      </c>
      <c r="F7" s="1109">
        <v>363.7944</v>
      </c>
      <c r="G7" s="976" t="s">
        <v>389</v>
      </c>
      <c r="H7" s="977">
        <f>D7</f>
        <v>1013.2500000000001</v>
      </c>
      <c r="I7" s="328"/>
      <c r="J7" s="961"/>
      <c r="K7" s="330">
        <f aca="true" t="shared" si="0" ref="K7:K57">$K$5*D7</f>
        <v>212.22521250000003</v>
      </c>
      <c r="L7" s="330"/>
      <c r="M7" s="331">
        <f aca="true" t="shared" si="1" ref="M7:M21">D7</f>
        <v>1013.2500000000001</v>
      </c>
      <c r="N7" s="331"/>
      <c r="O7" s="332">
        <f aca="true" t="shared" si="2" ref="O7:O22">A7</f>
        <v>0</v>
      </c>
      <c r="P7" s="333"/>
      <c r="Q7" s="312"/>
      <c r="R7" s="263"/>
    </row>
    <row r="8" spans="1:18" ht="14.25" customHeight="1">
      <c r="A8" s="1351">
        <v>500</v>
      </c>
      <c r="B8" s="1345">
        <v>152.40004157473135</v>
      </c>
      <c r="C8" s="1350">
        <v>29.384564550660073</v>
      </c>
      <c r="D8" s="1350">
        <v>995.0754089552486</v>
      </c>
      <c r="E8" s="1108"/>
      <c r="F8" s="1109"/>
      <c r="G8" s="716"/>
      <c r="H8" s="693"/>
      <c r="I8" s="334"/>
      <c r="J8" s="263"/>
      <c r="K8" s="329">
        <f t="shared" si="0"/>
        <v>208.4185444056768</v>
      </c>
      <c r="L8" s="329"/>
      <c r="M8" s="335">
        <f t="shared" si="1"/>
        <v>995.0754089552486</v>
      </c>
      <c r="N8" s="335"/>
      <c r="O8" s="332">
        <f t="shared" si="2"/>
        <v>500</v>
      </c>
      <c r="P8" s="333"/>
      <c r="Q8" s="312"/>
      <c r="R8" s="263"/>
    </row>
    <row r="9" spans="1:18" ht="15">
      <c r="A9" s="1344">
        <v>1000</v>
      </c>
      <c r="B9" s="1345">
        <v>304.8000831494627</v>
      </c>
      <c r="C9" s="1350">
        <v>28.855690908981558</v>
      </c>
      <c r="D9" s="1350">
        <v>977.1656946774823</v>
      </c>
      <c r="E9" s="697"/>
      <c r="F9" s="689"/>
      <c r="G9" s="700"/>
      <c r="H9" s="327"/>
      <c r="I9" s="337"/>
      <c r="J9" s="263"/>
      <c r="K9" s="329">
        <f t="shared" si="0"/>
        <v>204.66735475019865</v>
      </c>
      <c r="L9" s="329"/>
      <c r="M9" s="335">
        <f t="shared" si="1"/>
        <v>977.1656946774823</v>
      </c>
      <c r="N9" s="335"/>
      <c r="O9" s="338">
        <f t="shared" si="2"/>
        <v>1000</v>
      </c>
      <c r="P9" s="339"/>
      <c r="Q9" s="312"/>
      <c r="R9" s="263"/>
    </row>
    <row r="10" spans="1:18" ht="15">
      <c r="A10" s="1344">
        <v>1500</v>
      </c>
      <c r="B10" s="1345">
        <v>457.2001247241941</v>
      </c>
      <c r="C10" s="1350">
        <v>28.334551564961977</v>
      </c>
      <c r="D10" s="1350">
        <v>959.5178937383561</v>
      </c>
      <c r="E10" s="698"/>
      <c r="F10" s="690"/>
      <c r="G10" s="701"/>
      <c r="H10" s="327"/>
      <c r="I10" s="340"/>
      <c r="J10" s="263"/>
      <c r="K10" s="329">
        <f t="shared" si="0"/>
        <v>200.97102284349867</v>
      </c>
      <c r="L10" s="329"/>
      <c r="M10" s="335">
        <f t="shared" si="1"/>
        <v>959.5178937383561</v>
      </c>
      <c r="N10" s="335"/>
      <c r="O10" s="338">
        <f t="shared" si="2"/>
        <v>1500</v>
      </c>
      <c r="P10" s="339"/>
      <c r="Q10" s="312"/>
      <c r="R10" s="263"/>
    </row>
    <row r="11" spans="1:18" ht="15">
      <c r="A11" s="1344">
        <v>2000</v>
      </c>
      <c r="B11" s="1345">
        <v>609.6001662989254</v>
      </c>
      <c r="C11" s="1350">
        <v>27.821059689294888</v>
      </c>
      <c r="D11" s="1350">
        <v>942.1290657605343</v>
      </c>
      <c r="E11" s="698"/>
      <c r="F11" s="690"/>
      <c r="G11" s="701"/>
      <c r="H11" s="327"/>
      <c r="I11" s="341"/>
      <c r="J11" s="263"/>
      <c r="K11" s="329">
        <f t="shared" si="0"/>
        <v>197.3289328235439</v>
      </c>
      <c r="L11" s="329"/>
      <c r="M11" s="335">
        <f t="shared" si="1"/>
        <v>942.1290657605343</v>
      </c>
      <c r="N11" s="335"/>
      <c r="O11" s="338">
        <f t="shared" si="2"/>
        <v>2000</v>
      </c>
      <c r="P11" s="339"/>
      <c r="Q11" s="312"/>
      <c r="R11" s="263"/>
    </row>
    <row r="12" spans="1:18" ht="15">
      <c r="A12" s="1355">
        <v>2500</v>
      </c>
      <c r="B12" s="1356">
        <v>762.0002078736568</v>
      </c>
      <c r="C12" s="1357">
        <v>27.315129130412103</v>
      </c>
      <c r="D12" s="1358">
        <v>924.9962933175295</v>
      </c>
      <c r="E12" s="698"/>
      <c r="F12" s="690"/>
      <c r="G12" s="701"/>
      <c r="H12" s="327"/>
      <c r="I12" s="340"/>
      <c r="J12" s="263"/>
      <c r="K12" s="329">
        <f t="shared" si="0"/>
        <v>193.74047363535655</v>
      </c>
      <c r="L12" s="329"/>
      <c r="M12" s="335">
        <f t="shared" si="1"/>
        <v>924.9962933175295</v>
      </c>
      <c r="N12" s="335"/>
      <c r="O12" s="338">
        <f t="shared" si="2"/>
        <v>2500</v>
      </c>
      <c r="P12" s="339"/>
      <c r="Q12" s="312"/>
      <c r="R12" s="263"/>
    </row>
    <row r="13" spans="1:18" ht="15">
      <c r="A13" s="1351">
        <v>3000</v>
      </c>
      <c r="B13" s="1345">
        <v>914.4002494483882</v>
      </c>
      <c r="C13" s="1350">
        <v>26.816674411528286</v>
      </c>
      <c r="D13" s="1350">
        <v>908.1166818336205</v>
      </c>
      <c r="E13" s="698"/>
      <c r="F13" s="690"/>
      <c r="G13" s="701"/>
      <c r="H13" s="327"/>
      <c r="I13" s="340"/>
      <c r="J13" s="263"/>
      <c r="K13" s="329">
        <f t="shared" si="0"/>
        <v>190.20503901005182</v>
      </c>
      <c r="L13" s="329"/>
      <c r="M13" s="335">
        <f t="shared" si="1"/>
        <v>908.1166818336205</v>
      </c>
      <c r="N13" s="335"/>
      <c r="O13" s="338">
        <f t="shared" si="2"/>
        <v>3000</v>
      </c>
      <c r="P13" s="339"/>
      <c r="Q13" s="312"/>
      <c r="R13" s="263"/>
    </row>
    <row r="14" spans="1:18" ht="15">
      <c r="A14" s="1344">
        <v>3500</v>
      </c>
      <c r="B14" s="1345">
        <v>1066.8002910231196</v>
      </c>
      <c r="C14" s="1350">
        <v>26.325610727688417</v>
      </c>
      <c r="D14" s="1350">
        <v>891.4873594838683</v>
      </c>
      <c r="E14" s="698"/>
      <c r="F14" s="690"/>
      <c r="G14" s="701"/>
      <c r="H14" s="327"/>
      <c r="I14" s="340"/>
      <c r="J14" s="263"/>
      <c r="K14" s="329">
        <f t="shared" si="0"/>
        <v>186.72202744389622</v>
      </c>
      <c r="L14" s="329"/>
      <c r="M14" s="335">
        <f t="shared" si="1"/>
        <v>891.4873594838683</v>
      </c>
      <c r="N14" s="335"/>
      <c r="O14" s="338">
        <f t="shared" si="2"/>
        <v>3500</v>
      </c>
      <c r="P14" s="339"/>
      <c r="Q14" s="312"/>
      <c r="R14" s="263"/>
    </row>
    <row r="15" spans="1:18" ht="15">
      <c r="A15" s="1344">
        <v>4000</v>
      </c>
      <c r="B15" s="1345">
        <v>1219.2003325978508</v>
      </c>
      <c r="C15" s="1350">
        <v>25.84185394281768</v>
      </c>
      <c r="D15" s="1350">
        <v>875.1054770942137</v>
      </c>
      <c r="E15" s="699"/>
      <c r="F15" s="690"/>
      <c r="G15" s="702"/>
      <c r="H15" s="327"/>
      <c r="I15" s="340"/>
      <c r="J15" s="263"/>
      <c r="K15" s="329">
        <f t="shared" si="0"/>
        <v>183.29084217738307</v>
      </c>
      <c r="L15" s="329"/>
      <c r="M15" s="335">
        <f t="shared" si="1"/>
        <v>875.1054770942137</v>
      </c>
      <c r="N15" s="335"/>
      <c r="O15" s="338">
        <f t="shared" si="2"/>
        <v>4000</v>
      </c>
      <c r="P15" s="339"/>
      <c r="Q15" s="312"/>
      <c r="R15" s="263"/>
    </row>
    <row r="16" spans="1:18" ht="15">
      <c r="A16" s="1344">
        <v>4500</v>
      </c>
      <c r="B16" s="1345">
        <v>1371.6003741725822</v>
      </c>
      <c r="C16" s="1350">
        <v>25.365320586774256</v>
      </c>
      <c r="D16" s="1350">
        <v>858.968208041674</v>
      </c>
      <c r="E16" s="1110">
        <v>849.9999999516654</v>
      </c>
      <c r="F16" s="1111">
        <v>4781.1692975</v>
      </c>
      <c r="G16" s="703"/>
      <c r="H16" s="694"/>
      <c r="I16" s="342"/>
      <c r="J16" s="263"/>
      <c r="K16" s="329">
        <f t="shared" si="0"/>
        <v>179.9108911743286</v>
      </c>
      <c r="L16" s="329"/>
      <c r="M16" s="335">
        <f t="shared" si="1"/>
        <v>858.968208041674</v>
      </c>
      <c r="N16" s="335"/>
      <c r="O16" s="338">
        <f t="shared" si="2"/>
        <v>4500</v>
      </c>
      <c r="P16" s="339"/>
      <c r="Q16" s="312"/>
      <c r="R16" s="263"/>
    </row>
    <row r="17" spans="1:17" ht="15">
      <c r="A17" s="1355">
        <v>5000</v>
      </c>
      <c r="B17" s="1356">
        <v>1524.0004157473136</v>
      </c>
      <c r="C17" s="1357">
        <v>24.895927852404544</v>
      </c>
      <c r="D17" s="1357">
        <v>843.0727481546201</v>
      </c>
      <c r="E17" s="1110"/>
      <c r="F17" s="1111"/>
      <c r="G17" s="724" t="s">
        <v>178</v>
      </c>
      <c r="H17" s="720">
        <v>843.0727481546201</v>
      </c>
      <c r="I17" s="340"/>
      <c r="J17" s="263"/>
      <c r="K17" s="329">
        <f t="shared" si="0"/>
        <v>176.58158710098516</v>
      </c>
      <c r="L17" s="329"/>
      <c r="M17" s="335">
        <f t="shared" si="1"/>
        <v>843.0727481546201</v>
      </c>
      <c r="N17" s="335"/>
      <c r="O17" s="338">
        <f t="shared" si="2"/>
        <v>5000</v>
      </c>
      <c r="P17" s="339"/>
      <c r="Q17" s="263"/>
    </row>
    <row r="18" spans="1:17" ht="15">
      <c r="A18" s="1351">
        <v>6000</v>
      </c>
      <c r="B18" s="1345">
        <v>1828.8004988967764</v>
      </c>
      <c r="C18" s="1350">
        <v>23.978236317363535</v>
      </c>
      <c r="D18" s="1350">
        <v>811.99615084955</v>
      </c>
      <c r="E18" s="697"/>
      <c r="F18" s="689"/>
      <c r="G18" s="704"/>
      <c r="H18" s="327"/>
      <c r="I18" s="340"/>
      <c r="J18" s="263"/>
      <c r="K18" s="329">
        <f t="shared" si="0"/>
        <v>170.07259379543825</v>
      </c>
      <c r="L18" s="329"/>
      <c r="M18" s="335">
        <f t="shared" si="1"/>
        <v>811.99615084955</v>
      </c>
      <c r="N18" s="335"/>
      <c r="O18" s="338">
        <f t="shared" si="2"/>
        <v>6000</v>
      </c>
      <c r="P18" s="339"/>
      <c r="Q18" s="263"/>
    </row>
    <row r="19" spans="1:17" ht="15">
      <c r="A19" s="1344">
        <v>7000</v>
      </c>
      <c r="B19" s="1345">
        <v>2133.600582046239</v>
      </c>
      <c r="C19" s="1350">
        <v>23.088130028500455</v>
      </c>
      <c r="D19" s="1350">
        <v>781.8536970494587</v>
      </c>
      <c r="E19" s="698"/>
      <c r="F19" s="690"/>
      <c r="G19" s="705"/>
      <c r="H19" s="327"/>
      <c r="I19" s="340"/>
      <c r="J19" s="263"/>
      <c r="K19" s="329">
        <f t="shared" si="0"/>
        <v>163.7592568470091</v>
      </c>
      <c r="L19" s="329"/>
      <c r="M19" s="335">
        <f t="shared" si="1"/>
        <v>781.8536970494587</v>
      </c>
      <c r="N19" s="335"/>
      <c r="O19" s="338">
        <f t="shared" si="2"/>
        <v>7000</v>
      </c>
      <c r="P19" s="339"/>
      <c r="Q19" s="263"/>
    </row>
    <row r="20" spans="1:17" ht="15">
      <c r="A20" s="1344">
        <v>8000</v>
      </c>
      <c r="B20" s="1345">
        <v>2438.4006651957015</v>
      </c>
      <c r="C20" s="1350">
        <v>22.224970096421423</v>
      </c>
      <c r="D20" s="1350">
        <v>752.623751479684</v>
      </c>
      <c r="E20" s="699"/>
      <c r="F20" s="690"/>
      <c r="G20" s="706"/>
      <c r="H20" s="327"/>
      <c r="I20" s="344"/>
      <c r="J20" s="345"/>
      <c r="K20" s="329">
        <f t="shared" si="0"/>
        <v>157.6370447474198</v>
      </c>
      <c r="L20" s="346" t="s">
        <v>84</v>
      </c>
      <c r="M20" s="335">
        <f t="shared" si="1"/>
        <v>752.623751479684</v>
      </c>
      <c r="N20" s="335"/>
      <c r="O20" s="338">
        <f t="shared" si="2"/>
        <v>8000</v>
      </c>
      <c r="P20" s="333"/>
      <c r="Q20" s="345"/>
    </row>
    <row r="21" spans="1:17" ht="15">
      <c r="A21" s="1344">
        <v>9000</v>
      </c>
      <c r="B21" s="1345">
        <v>2743.2007483451644</v>
      </c>
      <c r="C21" s="1350">
        <v>21.388127957774287</v>
      </c>
      <c r="D21" s="1350">
        <v>724.2850285454155</v>
      </c>
      <c r="E21" s="1110">
        <v>700.0000000116505</v>
      </c>
      <c r="F21" s="1111">
        <v>9882.4883</v>
      </c>
      <c r="G21" s="707"/>
      <c r="H21" s="694"/>
      <c r="I21" s="344"/>
      <c r="J21" s="263"/>
      <c r="K21" s="329">
        <f t="shared" si="0"/>
        <v>151.70149922883726</v>
      </c>
      <c r="L21" s="329"/>
      <c r="M21" s="335">
        <f t="shared" si="1"/>
        <v>724.2850285454155</v>
      </c>
      <c r="N21" s="335"/>
      <c r="O21" s="338">
        <f t="shared" si="2"/>
        <v>9000</v>
      </c>
      <c r="P21" s="339"/>
      <c r="Q21" s="263"/>
    </row>
    <row r="22" spans="1:18" ht="15" customHeight="1">
      <c r="A22" s="1355">
        <v>10000</v>
      </c>
      <c r="B22" s="1356">
        <v>3048.000831494627</v>
      </c>
      <c r="C22" s="1357">
        <v>20.576985281663344</v>
      </c>
      <c r="D22" s="1357">
        <v>696.8165891625348</v>
      </c>
      <c r="E22" s="1110"/>
      <c r="F22" s="1111"/>
      <c r="G22" s="724" t="s">
        <v>179</v>
      </c>
      <c r="H22" s="720">
        <v>696.8165891625348</v>
      </c>
      <c r="I22" s="347"/>
      <c r="J22" s="263"/>
      <c r="K22" s="329">
        <f t="shared" si="0"/>
        <v>145.94823460009292</v>
      </c>
      <c r="L22" s="329"/>
      <c r="M22" s="335">
        <f>D22</f>
        <v>696.8165891625348</v>
      </c>
      <c r="N22" s="335"/>
      <c r="O22" s="916">
        <f t="shared" si="2"/>
        <v>10000</v>
      </c>
      <c r="P22" s="914" t="s">
        <v>180</v>
      </c>
      <c r="Q22" s="263"/>
      <c r="R22" s="263"/>
    </row>
    <row r="23" spans="1:17" ht="15">
      <c r="A23" s="1351">
        <v>11000</v>
      </c>
      <c r="B23" s="1345">
        <v>3352.80091464409</v>
      </c>
      <c r="C23" s="1350">
        <v>19.790933876237872</v>
      </c>
      <c r="D23" s="1350">
        <v>670.1978375943402</v>
      </c>
      <c r="E23" s="697"/>
      <c r="F23" s="689"/>
      <c r="G23" s="704"/>
      <c r="H23" s="327"/>
      <c r="I23" s="347"/>
      <c r="J23" s="263"/>
      <c r="K23" s="329">
        <f t="shared" si="0"/>
        <v>140.37293708413455</v>
      </c>
      <c r="L23" s="329"/>
      <c r="M23" s="335">
        <f aca="true" t="shared" si="3" ref="M23:M57">D23</f>
        <v>670.1978375943402</v>
      </c>
      <c r="N23" s="335"/>
      <c r="O23" s="916">
        <f aca="true" t="shared" si="4" ref="O23:O56">A23</f>
        <v>11000</v>
      </c>
      <c r="P23" s="339"/>
      <c r="Q23" s="263"/>
    </row>
    <row r="24" spans="1:17" ht="15">
      <c r="A24" s="1344">
        <v>12000</v>
      </c>
      <c r="B24" s="1345">
        <v>3657.600997793553</v>
      </c>
      <c r="C24" s="1350">
        <v>19.02937559545578</v>
      </c>
      <c r="D24" s="1350">
        <v>644.4085182942018</v>
      </c>
      <c r="E24" s="698"/>
      <c r="F24" s="690"/>
      <c r="G24" s="705"/>
      <c r="H24" s="327"/>
      <c r="I24" s="347"/>
      <c r="J24" s="263"/>
      <c r="K24" s="329">
        <f t="shared" si="0"/>
        <v>134.97136415672057</v>
      </c>
      <c r="L24" s="329"/>
      <c r="M24" s="335">
        <f t="shared" si="3"/>
        <v>644.4085182942018</v>
      </c>
      <c r="N24" s="335"/>
      <c r="O24" s="916">
        <f t="shared" si="4"/>
        <v>12000</v>
      </c>
      <c r="P24" s="339"/>
      <c r="Q24" s="263"/>
    </row>
    <row r="25" spans="1:17" ht="15">
      <c r="A25" s="1344">
        <v>13000</v>
      </c>
      <c r="B25" s="1345">
        <v>3962.401080943015</v>
      </c>
      <c r="C25" s="1350">
        <v>18.29172224602333</v>
      </c>
      <c r="D25" s="1350">
        <v>619.4287127541801</v>
      </c>
      <c r="E25" s="698"/>
      <c r="F25" s="690"/>
      <c r="G25" s="705"/>
      <c r="H25" s="327"/>
      <c r="I25" s="347"/>
      <c r="J25" s="263"/>
      <c r="K25" s="329">
        <f t="shared" si="0"/>
        <v>129.73934388636303</v>
      </c>
      <c r="L25" s="329"/>
      <c r="M25" s="335">
        <f t="shared" si="3"/>
        <v>619.4287127541801</v>
      </c>
      <c r="N25" s="335"/>
      <c r="O25" s="916">
        <f t="shared" si="4"/>
        <v>13000</v>
      </c>
      <c r="P25" s="339"/>
      <c r="Q25" s="263"/>
    </row>
    <row r="26" spans="1:17" ht="15">
      <c r="A26" s="1344">
        <v>14000</v>
      </c>
      <c r="B26" s="1345">
        <v>4267.201164092478</v>
      </c>
      <c r="C26" s="1350">
        <v>17.577395494511705</v>
      </c>
      <c r="D26" s="1350">
        <v>595.2388363596315</v>
      </c>
      <c r="E26" s="698"/>
      <c r="F26" s="690"/>
      <c r="G26" s="705"/>
      <c r="H26" s="327"/>
      <c r="I26" s="347"/>
      <c r="J26" s="263"/>
      <c r="K26" s="329">
        <f t="shared" si="0"/>
        <v>124.67277427552482</v>
      </c>
      <c r="L26" s="329"/>
      <c r="M26" s="335">
        <f t="shared" si="3"/>
        <v>595.2388363596315</v>
      </c>
      <c r="N26" s="335"/>
      <c r="O26" s="916">
        <f t="shared" si="4"/>
        <v>14000</v>
      </c>
      <c r="P26" s="339"/>
      <c r="Q26" s="263"/>
    </row>
    <row r="27" spans="1:17" ht="15">
      <c r="A27" s="1355">
        <v>15000</v>
      </c>
      <c r="B27" s="1356">
        <v>4572.001247241941</v>
      </c>
      <c r="C27" s="1357">
        <v>16.885826774651502</v>
      </c>
      <c r="D27" s="1357">
        <v>571.8196352498403</v>
      </c>
      <c r="E27" s="698"/>
      <c r="F27" s="690"/>
      <c r="G27" s="705"/>
      <c r="H27" s="327"/>
      <c r="I27" s="347"/>
      <c r="J27" s="263"/>
      <c r="K27" s="329">
        <f t="shared" si="0"/>
        <v>119.76762260307905</v>
      </c>
      <c r="L27" s="329"/>
      <c r="M27" s="335">
        <f t="shared" si="3"/>
        <v>571.8196352498403</v>
      </c>
      <c r="N27" s="335"/>
      <c r="O27" s="916">
        <f t="shared" si="4"/>
        <v>15000</v>
      </c>
      <c r="P27" s="339"/>
      <c r="Q27" s="263"/>
    </row>
    <row r="28" spans="1:17" ht="15">
      <c r="A28" s="1351">
        <v>16000</v>
      </c>
      <c r="B28" s="1345">
        <v>4876.801330391403</v>
      </c>
      <c r="C28" s="1350">
        <v>16.216457194806246</v>
      </c>
      <c r="D28" s="1350">
        <v>549.1521831847132</v>
      </c>
      <c r="E28" s="699"/>
      <c r="F28" s="690"/>
      <c r="G28" s="706"/>
      <c r="H28" s="327"/>
      <c r="I28" s="347"/>
      <c r="J28" s="263"/>
      <c r="K28" s="329">
        <f t="shared" si="0"/>
        <v>115.01992476803818</v>
      </c>
      <c r="L28" s="329"/>
      <c r="M28" s="335">
        <f t="shared" si="3"/>
        <v>549.1521831847132</v>
      </c>
      <c r="N28" s="335"/>
      <c r="O28" s="916">
        <f t="shared" si="4"/>
        <v>16000</v>
      </c>
      <c r="P28" s="339"/>
      <c r="Q28" s="263"/>
    </row>
    <row r="29" spans="1:17" ht="14.25" customHeight="1">
      <c r="A29" s="1344">
        <v>17000</v>
      </c>
      <c r="B29" s="1345">
        <v>5181.601413540866</v>
      </c>
      <c r="C29" s="1350">
        <v>15.568737445625814</v>
      </c>
      <c r="D29" s="1350">
        <v>527.2178784175652</v>
      </c>
      <c r="E29" s="1110">
        <v>500</v>
      </c>
      <c r="F29" s="1111">
        <v>18289</v>
      </c>
      <c r="G29" s="721" t="s">
        <v>181</v>
      </c>
      <c r="H29" s="722">
        <v>506</v>
      </c>
      <c r="I29" s="344"/>
      <c r="J29" s="263"/>
      <c r="K29" s="329">
        <f t="shared" si="0"/>
        <v>110.42578463455904</v>
      </c>
      <c r="L29" s="329"/>
      <c r="M29" s="335">
        <f t="shared" si="3"/>
        <v>527.2178784175652</v>
      </c>
      <c r="N29" s="335"/>
      <c r="O29" s="916">
        <f t="shared" si="4"/>
        <v>17000</v>
      </c>
      <c r="P29" s="339"/>
      <c r="Q29" s="263"/>
    </row>
    <row r="30" spans="1:17" ht="15" customHeight="1">
      <c r="A30" s="1344">
        <v>18000</v>
      </c>
      <c r="B30" s="1345">
        <v>5486.401496690329</v>
      </c>
      <c r="C30" s="1350">
        <v>14.942127707880765</v>
      </c>
      <c r="D30" s="1350">
        <v>505.9984405740328</v>
      </c>
      <c r="E30" s="1110"/>
      <c r="F30" s="1111"/>
      <c r="G30" s="716"/>
      <c r="H30" s="693"/>
      <c r="I30" s="347"/>
      <c r="J30" s="263"/>
      <c r="K30" s="329">
        <f t="shared" si="0"/>
        <v>105.98137337823117</v>
      </c>
      <c r="L30" s="329"/>
      <c r="M30" s="335">
        <f t="shared" si="3"/>
        <v>505.9984405740328</v>
      </c>
      <c r="N30" s="335"/>
      <c r="O30" s="916">
        <f t="shared" si="4"/>
        <v>18000</v>
      </c>
      <c r="P30" s="339"/>
      <c r="Q30" s="263"/>
    </row>
    <row r="31" spans="1:17" ht="15">
      <c r="A31" s="1344">
        <v>19000</v>
      </c>
      <c r="B31" s="1345">
        <v>5791.2015798397915</v>
      </c>
      <c r="C31" s="1350">
        <v>14.336097560478834</v>
      </c>
      <c r="D31" s="1350">
        <v>485.47590753715514</v>
      </c>
      <c r="E31" s="697"/>
      <c r="F31" s="689"/>
      <c r="G31" s="708"/>
      <c r="H31" s="327"/>
      <c r="I31" s="347"/>
      <c r="J31" s="263"/>
      <c r="K31" s="329">
        <f t="shared" si="0"/>
        <v>101.68292883365714</v>
      </c>
      <c r="L31" s="329"/>
      <c r="M31" s="335">
        <f t="shared" si="3"/>
        <v>485.47590753715514</v>
      </c>
      <c r="N31" s="335"/>
      <c r="O31" s="916">
        <f t="shared" si="4"/>
        <v>19000</v>
      </c>
      <c r="P31" s="339"/>
      <c r="Q31" s="263"/>
    </row>
    <row r="32" spans="1:17" ht="15">
      <c r="A32" s="1355">
        <v>20000</v>
      </c>
      <c r="B32" s="1356">
        <v>6096.001662989254</v>
      </c>
      <c r="C32" s="1357">
        <v>13.750125888664355</v>
      </c>
      <c r="D32" s="1357">
        <v>465.6326323386501</v>
      </c>
      <c r="E32" s="698"/>
      <c r="F32" s="690"/>
      <c r="G32" s="701"/>
      <c r="H32" s="327"/>
      <c r="I32" s="347"/>
      <c r="J32" s="263"/>
      <c r="K32" s="329">
        <f t="shared" si="0"/>
        <v>97.52675484333027</v>
      </c>
      <c r="L32" s="329"/>
      <c r="M32" s="335">
        <f t="shared" si="3"/>
        <v>465.6326323386501</v>
      </c>
      <c r="N32" s="335"/>
      <c r="O32" s="916">
        <f t="shared" si="4"/>
        <v>20000</v>
      </c>
      <c r="P32" s="339"/>
      <c r="Q32" s="263"/>
    </row>
    <row r="33" spans="1:17" ht="15">
      <c r="A33" s="1351">
        <v>21000</v>
      </c>
      <c r="B33" s="1345">
        <v>6400.801746138717</v>
      </c>
      <c r="C33" s="1350">
        <v>13.183700792401863</v>
      </c>
      <c r="D33" s="1350">
        <v>446.4512800564277</v>
      </c>
      <c r="E33" s="698"/>
      <c r="F33" s="690"/>
      <c r="G33" s="701"/>
      <c r="H33" s="327"/>
      <c r="I33" s="347"/>
      <c r="J33" s="263"/>
      <c r="K33" s="329">
        <f t="shared" si="0"/>
        <v>93.50922060781879</v>
      </c>
      <c r="L33" s="329"/>
      <c r="M33" s="335">
        <f t="shared" si="3"/>
        <v>446.4512800564277</v>
      </c>
      <c r="N33" s="335"/>
      <c r="O33" s="916">
        <f t="shared" si="4"/>
        <v>21000</v>
      </c>
      <c r="P33" s="339"/>
      <c r="Q33" s="263"/>
    </row>
    <row r="34" spans="1:17" ht="15">
      <c r="A34" s="1344">
        <v>22000</v>
      </c>
      <c r="B34" s="1345">
        <v>6705.60182928818</v>
      </c>
      <c r="C34" s="1350">
        <v>12.63631949494495</v>
      </c>
      <c r="D34" s="1350">
        <v>427.9148247183765</v>
      </c>
      <c r="E34" s="698"/>
      <c r="F34" s="690"/>
      <c r="G34" s="701"/>
      <c r="H34" s="327"/>
      <c r="I34" s="347"/>
      <c r="J34" s="263"/>
      <c r="K34" s="329">
        <f t="shared" si="0"/>
        <v>89.62676003726396</v>
      </c>
      <c r="L34" s="329"/>
      <c r="M34" s="335">
        <f t="shared" si="3"/>
        <v>427.9148247183765</v>
      </c>
      <c r="N34" s="335"/>
      <c r="O34" s="916">
        <f t="shared" si="4"/>
        <v>22000</v>
      </c>
      <c r="P34" s="339"/>
      <c r="Q34" s="263"/>
    </row>
    <row r="35" spans="1:17" ht="15">
      <c r="A35" s="1344">
        <v>23000</v>
      </c>
      <c r="B35" s="1345">
        <v>7010.401912437643</v>
      </c>
      <c r="C35" s="1350">
        <v>12.107488251591404</v>
      </c>
      <c r="D35" s="1350">
        <v>410.00654621245866</v>
      </c>
      <c r="E35" s="1114">
        <v>400</v>
      </c>
      <c r="F35" s="1111">
        <v>23487</v>
      </c>
      <c r="G35" s="707"/>
      <c r="H35" s="694"/>
      <c r="I35" s="347"/>
      <c r="J35" s="263"/>
      <c r="K35" s="329">
        <f t="shared" si="0"/>
        <v>85.87587110419946</v>
      </c>
      <c r="L35" s="329"/>
      <c r="M35" s="335">
        <f t="shared" si="3"/>
        <v>410.00654621245866</v>
      </c>
      <c r="N35" s="335"/>
      <c r="O35" s="916">
        <f t="shared" si="4"/>
        <v>23000</v>
      </c>
      <c r="P35" s="339"/>
      <c r="Q35" s="263"/>
    </row>
    <row r="36" spans="1:17" ht="15">
      <c r="A36" s="1344">
        <v>24000</v>
      </c>
      <c r="B36" s="1345">
        <v>7315.201995587106</v>
      </c>
      <c r="C36" s="1350">
        <v>11.59672225862577</v>
      </c>
      <c r="D36" s="1350">
        <v>392.71002720315124</v>
      </c>
      <c r="E36" s="1114"/>
      <c r="F36" s="1111"/>
      <c r="G36" s="973" t="s">
        <v>182</v>
      </c>
      <c r="H36" s="723">
        <v>392.71</v>
      </c>
      <c r="I36" s="347"/>
      <c r="J36" s="263"/>
      <c r="K36" s="329">
        <f t="shared" si="0"/>
        <v>82.25311519770003</v>
      </c>
      <c r="L36" s="329"/>
      <c r="M36" s="335">
        <f t="shared" si="3"/>
        <v>392.71002720315124</v>
      </c>
      <c r="N36" s="335"/>
      <c r="O36" s="916">
        <f t="shared" si="4"/>
        <v>24000</v>
      </c>
      <c r="P36" s="339"/>
      <c r="Q36" s="263"/>
    </row>
    <row r="37" spans="1:17" ht="15">
      <c r="A37" s="1355">
        <v>25000</v>
      </c>
      <c r="B37" s="1356">
        <v>7620.002078736568</v>
      </c>
      <c r="C37" s="1357">
        <v>11.103545562450465</v>
      </c>
      <c r="D37" s="1357">
        <v>376.0091500542736</v>
      </c>
      <c r="E37" s="697"/>
      <c r="F37" s="692"/>
      <c r="G37" s="708"/>
      <c r="H37" s="695"/>
      <c r="I37" s="347"/>
      <c r="J37" s="263"/>
      <c r="K37" s="329">
        <f t="shared" si="0"/>
        <v>78.7551164788676</v>
      </c>
      <c r="L37" s="329"/>
      <c r="M37" s="335">
        <f t="shared" si="3"/>
        <v>376.0091500542736</v>
      </c>
      <c r="N37" s="335"/>
      <c r="O37" s="916">
        <f t="shared" si="4"/>
        <v>25000</v>
      </c>
      <c r="P37" s="339"/>
      <c r="Q37" s="263"/>
    </row>
    <row r="38" spans="1:17" ht="15">
      <c r="A38" s="1351">
        <v>26000</v>
      </c>
      <c r="B38" s="1345">
        <v>7924.80216188603</v>
      </c>
      <c r="C38" s="1350">
        <v>10.627490968906644</v>
      </c>
      <c r="D38" s="1350">
        <v>359.8880937582394</v>
      </c>
      <c r="E38" s="698"/>
      <c r="F38" s="690"/>
      <c r="G38" s="701"/>
      <c r="H38" s="327"/>
      <c r="I38" s="347"/>
      <c r="J38" s="263"/>
      <c r="K38" s="329">
        <f t="shared" si="0"/>
        <v>75.37856123766323</v>
      </c>
      <c r="L38" s="329"/>
      <c r="M38" s="335">
        <f t="shared" si="3"/>
        <v>359.8880937582394</v>
      </c>
      <c r="N38" s="335"/>
      <c r="O38" s="916">
        <f t="shared" si="4"/>
        <v>26000</v>
      </c>
      <c r="P38" s="339"/>
      <c r="Q38" s="263"/>
    </row>
    <row r="39" spans="1:17" ht="15">
      <c r="A39" s="1344">
        <v>27000</v>
      </c>
      <c r="B39" s="1345">
        <v>8229.602245035494</v>
      </c>
      <c r="C39" s="1350">
        <v>10.168099952785859</v>
      </c>
      <c r="D39" s="1350">
        <v>344.3313308717705</v>
      </c>
      <c r="E39" s="698"/>
      <c r="F39" s="690"/>
      <c r="G39" s="701"/>
      <c r="H39" s="327"/>
      <c r="I39" s="347"/>
      <c r="J39" s="263"/>
      <c r="K39" s="329">
        <f t="shared" si="0"/>
        <v>72.12019725109232</v>
      </c>
      <c r="L39" s="329"/>
      <c r="M39" s="335">
        <f t="shared" si="3"/>
        <v>344.3313308717705</v>
      </c>
      <c r="N39" s="335"/>
      <c r="O39" s="916">
        <f t="shared" si="4"/>
        <v>27000</v>
      </c>
      <c r="P39" s="339"/>
      <c r="Q39" s="263"/>
    </row>
    <row r="40" spans="1:19" ht="15">
      <c r="A40" s="1344">
        <v>28000</v>
      </c>
      <c r="B40" s="1345">
        <v>8534.402328184957</v>
      </c>
      <c r="C40" s="1350">
        <v>9.724922567533818</v>
      </c>
      <c r="D40" s="1350">
        <v>329.32362445811583</v>
      </c>
      <c r="E40" s="698"/>
      <c r="F40" s="690"/>
      <c r="G40" s="701"/>
      <c r="H40" s="327"/>
      <c r="I40" s="347"/>
      <c r="J40" s="263"/>
      <c r="K40" s="329">
        <f t="shared" si="0"/>
        <v>68.97683314275235</v>
      </c>
      <c r="L40" s="329"/>
      <c r="M40" s="335">
        <f t="shared" si="3"/>
        <v>329.32362445811583</v>
      </c>
      <c r="N40" s="335"/>
      <c r="O40" s="916">
        <f t="shared" si="4"/>
        <v>28000</v>
      </c>
      <c r="P40" s="339"/>
      <c r="Q40" s="263"/>
      <c r="S40" s="310"/>
    </row>
    <row r="41" spans="1:19" ht="15">
      <c r="A41" s="1344">
        <v>29000</v>
      </c>
      <c r="B41" s="1345">
        <v>8839.20241133442</v>
      </c>
      <c r="C41" s="1350">
        <v>9.29751735514735</v>
      </c>
      <c r="D41" s="1350">
        <v>314.85002503581245</v>
      </c>
      <c r="E41" s="699"/>
      <c r="F41" s="690"/>
      <c r="G41" s="702"/>
      <c r="H41" s="327"/>
      <c r="I41" s="347"/>
      <c r="J41" s="263"/>
      <c r="K41" s="329">
        <f t="shared" si="0"/>
        <v>65.94533774375091</v>
      </c>
      <c r="L41" s="329"/>
      <c r="M41" s="335">
        <f t="shared" si="3"/>
        <v>314.85002503581245</v>
      </c>
      <c r="N41" s="335"/>
      <c r="O41" s="916">
        <f t="shared" si="4"/>
        <v>29000</v>
      </c>
      <c r="P41" s="339"/>
      <c r="Q41" s="263"/>
      <c r="S41" s="318"/>
    </row>
    <row r="42" spans="1:19" ht="15">
      <c r="A42" s="1355">
        <v>30000</v>
      </c>
      <c r="B42" s="1356">
        <v>9144.002494483882</v>
      </c>
      <c r="C42" s="1357">
        <v>8.885451256265807</v>
      </c>
      <c r="D42" s="1357">
        <v>300.89586753403194</v>
      </c>
      <c r="E42" s="1112">
        <v>300</v>
      </c>
      <c r="F42" s="1111">
        <v>30065</v>
      </c>
      <c r="G42" s="721" t="s">
        <v>183</v>
      </c>
      <c r="H42" s="722">
        <v>300.9</v>
      </c>
      <c r="I42" s="347"/>
      <c r="J42" s="263"/>
      <c r="K42" s="329">
        <f t="shared" si="0"/>
        <v>63.02263945500299</v>
      </c>
      <c r="L42" s="329"/>
      <c r="M42" s="335">
        <f t="shared" si="3"/>
        <v>300.89586753403194</v>
      </c>
      <c r="N42" s="335"/>
      <c r="O42" s="916">
        <f t="shared" si="4"/>
        <v>30000</v>
      </c>
      <c r="P42" s="339"/>
      <c r="Q42" s="263"/>
      <c r="R42" s="348"/>
      <c r="S42" s="263"/>
    </row>
    <row r="43" spans="1:17" ht="15">
      <c r="A43" s="1351">
        <v>31000</v>
      </c>
      <c r="B43" s="1345">
        <v>9448.802577633345</v>
      </c>
      <c r="C43" s="1350">
        <v>8.48829952045821</v>
      </c>
      <c r="D43" s="1350">
        <v>287.44676825455485</v>
      </c>
      <c r="E43" s="1112"/>
      <c r="F43" s="1111"/>
      <c r="G43" s="716"/>
      <c r="H43" s="693"/>
      <c r="I43" s="347"/>
      <c r="J43" s="263"/>
      <c r="K43" s="329">
        <f t="shared" si="0"/>
        <v>60.20572561091652</v>
      </c>
      <c r="L43" s="329"/>
      <c r="M43" s="335">
        <f t="shared" si="3"/>
        <v>287.44676825455485</v>
      </c>
      <c r="N43" s="335"/>
      <c r="O43" s="916">
        <f t="shared" si="4"/>
        <v>31000</v>
      </c>
      <c r="P43" s="339"/>
      <c r="Q43" s="263"/>
    </row>
    <row r="44" spans="1:17" ht="15">
      <c r="A44" s="1344">
        <v>32000</v>
      </c>
      <c r="B44" s="1345">
        <v>9753.602660782806</v>
      </c>
      <c r="C44" s="1350">
        <v>8.105645616707225</v>
      </c>
      <c r="D44" s="1350">
        <v>274.48862184041036</v>
      </c>
      <c r="E44" s="712"/>
      <c r="F44" s="711"/>
      <c r="G44" s="715"/>
      <c r="H44" s="327"/>
      <c r="I44" s="347"/>
      <c r="J44" s="263"/>
      <c r="K44" s="329">
        <f t="shared" si="0"/>
        <v>57.491641844473946</v>
      </c>
      <c r="L44" s="329"/>
      <c r="M44" s="335">
        <f t="shared" si="3"/>
        <v>274.48862184041036</v>
      </c>
      <c r="N44" s="335"/>
      <c r="O44" s="916">
        <f t="shared" si="4"/>
        <v>32000</v>
      </c>
      <c r="P44" s="339"/>
      <c r="Q44" s="263"/>
    </row>
    <row r="45" spans="1:17" ht="15">
      <c r="A45" s="1344">
        <v>33000</v>
      </c>
      <c r="B45" s="1345">
        <v>10058.402743932269</v>
      </c>
      <c r="C45" s="1350">
        <v>7.737081144091431</v>
      </c>
      <c r="D45" s="1350">
        <v>262.0075982512315</v>
      </c>
      <c r="E45" s="1113">
        <v>249.999999986646</v>
      </c>
      <c r="F45" s="1111">
        <v>33999.1637</v>
      </c>
      <c r="G45" s="703"/>
      <c r="H45" s="694"/>
      <c r="I45" s="347"/>
      <c r="J45" s="263"/>
      <c r="K45" s="329">
        <f t="shared" si="0"/>
        <v>54.87749145372044</v>
      </c>
      <c r="L45" s="329"/>
      <c r="M45" s="335">
        <f t="shared" si="3"/>
        <v>262.0075982512315</v>
      </c>
      <c r="N45" s="335"/>
      <c r="O45" s="916">
        <f t="shared" si="4"/>
        <v>33000</v>
      </c>
      <c r="P45" s="339"/>
      <c r="Q45" s="263"/>
    </row>
    <row r="46" spans="1:17" ht="15">
      <c r="A46" s="1344">
        <v>34000</v>
      </c>
      <c r="B46" s="1345">
        <v>10363.202827081732</v>
      </c>
      <c r="C46" s="1350">
        <v>7.382205742667003</v>
      </c>
      <c r="D46" s="1350">
        <v>249.99013974536305</v>
      </c>
      <c r="E46" s="1113"/>
      <c r="F46" s="1111"/>
      <c r="G46" s="719" t="s">
        <v>184</v>
      </c>
      <c r="H46" s="720">
        <f>D46</f>
        <v>249.99013974536305</v>
      </c>
      <c r="I46" s="347"/>
      <c r="J46" s="263"/>
      <c r="K46" s="329">
        <f t="shared" si="0"/>
        <v>52.36043476966629</v>
      </c>
      <c r="L46" s="329"/>
      <c r="M46" s="335">
        <f t="shared" si="3"/>
        <v>249.99013974536305</v>
      </c>
      <c r="N46" s="335"/>
      <c r="O46" s="916">
        <f t="shared" si="4"/>
        <v>34000</v>
      </c>
      <c r="P46" s="339"/>
      <c r="Q46" s="263"/>
    </row>
    <row r="47" spans="1:17" ht="15">
      <c r="A47" s="1355">
        <v>35000</v>
      </c>
      <c r="B47" s="1356">
        <v>10668.002910231195</v>
      </c>
      <c r="C47" s="1357">
        <v>7.040627004550249</v>
      </c>
      <c r="D47" s="1357">
        <v>238.4229578687709</v>
      </c>
      <c r="E47" s="697"/>
      <c r="F47" s="692"/>
      <c r="G47" s="709"/>
      <c r="H47" s="695"/>
      <c r="I47" s="347"/>
      <c r="J47" s="263"/>
      <c r="K47" s="329">
        <f t="shared" si="0"/>
        <v>49.937688525614064</v>
      </c>
      <c r="L47" s="329"/>
      <c r="M47" s="335">
        <f t="shared" si="3"/>
        <v>238.4229578687709</v>
      </c>
      <c r="N47" s="335"/>
      <c r="O47" s="916">
        <f t="shared" si="4"/>
        <v>35000</v>
      </c>
      <c r="P47" s="339"/>
      <c r="Q47" s="263"/>
    </row>
    <row r="48" spans="1:17" ht="15">
      <c r="A48" s="1351">
        <v>36000</v>
      </c>
      <c r="B48" s="1345">
        <v>10972.802993380657</v>
      </c>
      <c r="C48" s="1350">
        <v>6.711960385202199</v>
      </c>
      <c r="D48" s="1350">
        <v>227.29303045079416</v>
      </c>
      <c r="E48" s="698"/>
      <c r="F48" s="690"/>
      <c r="G48" s="710"/>
      <c r="H48" s="327"/>
      <c r="I48" s="347"/>
      <c r="J48" s="263"/>
      <c r="K48" s="329">
        <f t="shared" si="0"/>
        <v>47.60652522791884</v>
      </c>
      <c r="L48" s="329"/>
      <c r="M48" s="335">
        <f t="shared" si="3"/>
        <v>227.29303045079416</v>
      </c>
      <c r="N48" s="335"/>
      <c r="O48" s="916">
        <f t="shared" si="4"/>
        <v>36000</v>
      </c>
      <c r="P48" s="339"/>
      <c r="Q48" s="263"/>
    </row>
    <row r="49" spans="1:17" ht="15">
      <c r="A49" s="1344">
        <v>37000</v>
      </c>
      <c r="B49" s="1345">
        <v>11277.60307653012</v>
      </c>
      <c r="C49" s="1350">
        <v>6.39692792242187</v>
      </c>
      <c r="D49" s="1350">
        <v>216.62480849382547</v>
      </c>
      <c r="E49" s="699"/>
      <c r="F49" s="690"/>
      <c r="G49" s="702"/>
      <c r="H49" s="327"/>
      <c r="I49" s="347"/>
      <c r="J49" s="263"/>
      <c r="K49" s="329">
        <f t="shared" si="0"/>
        <v>45.372066139031745</v>
      </c>
      <c r="L49" s="329"/>
      <c r="M49" s="335">
        <f t="shared" si="3"/>
        <v>216.62480849382547</v>
      </c>
      <c r="N49" s="335"/>
      <c r="O49" s="916">
        <f t="shared" si="4"/>
        <v>37000</v>
      </c>
      <c r="P49" s="339"/>
      <c r="Q49" s="349"/>
    </row>
    <row r="50" spans="1:17" ht="15">
      <c r="A50" s="1344">
        <v>38000</v>
      </c>
      <c r="B50" s="1345">
        <v>11582.403159679583</v>
      </c>
      <c r="C50" s="1350">
        <v>6.096741405724924</v>
      </c>
      <c r="D50" s="1350">
        <v>206.4593278943059</v>
      </c>
      <c r="E50" s="1115">
        <v>200</v>
      </c>
      <c r="F50" s="1116">
        <v>38632</v>
      </c>
      <c r="G50" s="703"/>
      <c r="H50" s="694"/>
      <c r="I50" s="347"/>
      <c r="J50" s="263"/>
      <c r="K50" s="329">
        <f t="shared" si="0"/>
        <v>43.24290622746237</v>
      </c>
      <c r="L50" s="329"/>
      <c r="M50" s="335">
        <f t="shared" si="3"/>
        <v>206.4593278943059</v>
      </c>
      <c r="N50" s="346" t="s">
        <v>186</v>
      </c>
      <c r="O50" s="916">
        <f t="shared" si="4"/>
        <v>38000</v>
      </c>
      <c r="P50" s="906"/>
      <c r="Q50" s="263"/>
    </row>
    <row r="51" spans="1:17" ht="15">
      <c r="A51" s="1344">
        <v>39000</v>
      </c>
      <c r="B51" s="1345">
        <v>11887.203242829046</v>
      </c>
      <c r="C51" s="1350">
        <v>5.810641642216299</v>
      </c>
      <c r="D51" s="1350">
        <v>196.77087943407682</v>
      </c>
      <c r="E51" s="1115"/>
      <c r="F51" s="1116"/>
      <c r="G51" s="719" t="s">
        <v>185</v>
      </c>
      <c r="H51" s="720">
        <v>196.4</v>
      </c>
      <c r="I51" s="347"/>
      <c r="J51" s="263"/>
      <c r="K51" s="329">
        <f t="shared" si="0"/>
        <v>41.21366069746739</v>
      </c>
      <c r="L51" s="329"/>
      <c r="M51" s="335">
        <f t="shared" si="3"/>
        <v>196.77087943407682</v>
      </c>
      <c r="N51" s="335"/>
      <c r="O51" s="916">
        <f t="shared" si="4"/>
        <v>39000</v>
      </c>
      <c r="P51" s="906"/>
      <c r="Q51" s="263"/>
    </row>
    <row r="52" spans="1:17" ht="15">
      <c r="A52" s="1355">
        <v>40000</v>
      </c>
      <c r="B52" s="1356">
        <v>12192.003325978509</v>
      </c>
      <c r="C52" s="1357">
        <v>5.537967587497429</v>
      </c>
      <c r="D52" s="1357">
        <v>187.53707758402453</v>
      </c>
      <c r="E52" s="697"/>
      <c r="F52" s="689"/>
      <c r="G52" s="708"/>
      <c r="H52" s="327"/>
      <c r="I52" s="347"/>
      <c r="J52" s="263"/>
      <c r="K52" s="329">
        <f t="shared" si="0"/>
        <v>39.279640899973934</v>
      </c>
      <c r="L52" s="329"/>
      <c r="M52" s="335">
        <f t="shared" si="3"/>
        <v>187.53707758402453</v>
      </c>
      <c r="O52" s="916">
        <f t="shared" si="4"/>
        <v>40000</v>
      </c>
      <c r="P52" s="906"/>
      <c r="Q52" s="263"/>
    </row>
    <row r="53" spans="1:17" ht="15">
      <c r="A53" s="1351">
        <v>41000</v>
      </c>
      <c r="B53" s="1345">
        <v>12496.803409127971</v>
      </c>
      <c r="C53" s="1350">
        <v>5.278089217781164</v>
      </c>
      <c r="D53" s="1350">
        <v>178.73658729334142</v>
      </c>
      <c r="E53" s="698"/>
      <c r="F53" s="690"/>
      <c r="G53" s="701"/>
      <c r="H53" s="327"/>
      <c r="I53" s="347"/>
      <c r="J53" s="350"/>
      <c r="K53" s="351">
        <f t="shared" si="0"/>
        <v>37.43637820859036</v>
      </c>
      <c r="L53" s="351"/>
      <c r="M53" s="352">
        <f t="shared" si="3"/>
        <v>178.73658729334142</v>
      </c>
      <c r="N53" s="353"/>
      <c r="O53" s="916">
        <f t="shared" si="4"/>
        <v>41000</v>
      </c>
      <c r="P53" s="906"/>
      <c r="Q53" s="263"/>
    </row>
    <row r="54" spans="1:17" ht="15">
      <c r="A54" s="1344">
        <v>42000</v>
      </c>
      <c r="B54" s="1345">
        <v>12801.603492277434</v>
      </c>
      <c r="C54" s="1350">
        <v>5.030406074197833</v>
      </c>
      <c r="D54" s="1350">
        <v>170.34907469407887</v>
      </c>
      <c r="E54" s="698"/>
      <c r="F54" s="690"/>
      <c r="G54" s="701"/>
      <c r="H54" s="327"/>
      <c r="I54" s="347"/>
      <c r="J54" s="350"/>
      <c r="K54" s="351">
        <f t="shared" si="0"/>
        <v>35.67961369467482</v>
      </c>
      <c r="L54" s="351"/>
      <c r="M54" s="352">
        <f t="shared" si="3"/>
        <v>170.34907469407887</v>
      </c>
      <c r="N54" s="353"/>
      <c r="O54" s="916">
        <f t="shared" si="4"/>
        <v>42000</v>
      </c>
      <c r="P54" s="906"/>
      <c r="Q54" s="263"/>
    </row>
    <row r="55" spans="1:17" ht="15">
      <c r="A55" s="1344">
        <v>43000</v>
      </c>
      <c r="B55" s="1345">
        <v>13106.403575426897</v>
      </c>
      <c r="C55" s="1350">
        <v>4.794345875412148</v>
      </c>
      <c r="D55" s="1350">
        <v>162.3551601189709</v>
      </c>
      <c r="E55" s="699"/>
      <c r="F55" s="690"/>
      <c r="G55" s="702"/>
      <c r="H55" s="327"/>
      <c r="I55" s="347"/>
      <c r="J55" s="350"/>
      <c r="K55" s="351">
        <f t="shared" si="0"/>
        <v>34.00528828691846</v>
      </c>
      <c r="L55" s="351"/>
      <c r="M55" s="352">
        <f t="shared" si="3"/>
        <v>162.3551601189709</v>
      </c>
      <c r="N55" s="353"/>
      <c r="O55" s="916">
        <f t="shared" si="4"/>
        <v>43000</v>
      </c>
      <c r="P55" s="906"/>
      <c r="Q55" s="263"/>
    </row>
    <row r="56" spans="1:17" ht="15">
      <c r="A56" s="1344">
        <v>44000</v>
      </c>
      <c r="B56" s="1345">
        <v>13411.20365857636</v>
      </c>
      <c r="C56" s="1350">
        <v>4.569363195345391</v>
      </c>
      <c r="D56" s="1350">
        <v>154.7363733239749</v>
      </c>
      <c r="E56" s="1117">
        <v>150.00000003485107</v>
      </c>
      <c r="F56" s="1116">
        <v>44320.748677</v>
      </c>
      <c r="G56" s="703"/>
      <c r="H56" s="694"/>
      <c r="I56" s="347"/>
      <c r="J56" s="350"/>
      <c r="K56" s="351">
        <f t="shared" si="0"/>
        <v>32.40953339270654</v>
      </c>
      <c r="L56" s="351"/>
      <c r="M56" s="352">
        <f t="shared" si="3"/>
        <v>154.7363733239749</v>
      </c>
      <c r="N56" s="353"/>
      <c r="O56" s="916">
        <f t="shared" si="4"/>
        <v>44000</v>
      </c>
      <c r="P56" s="906"/>
      <c r="Q56" s="263"/>
    </row>
    <row r="57" spans="1:17" ht="15">
      <c r="A57" s="1355">
        <v>45000</v>
      </c>
      <c r="B57" s="1356">
        <v>13716.003741725823</v>
      </c>
      <c r="C57" s="1357">
        <v>4.354938202947688</v>
      </c>
      <c r="D57" s="1357">
        <v>147.47511081206957</v>
      </c>
      <c r="E57" s="1117"/>
      <c r="F57" s="1116"/>
      <c r="G57" s="719" t="s">
        <v>187</v>
      </c>
      <c r="H57" s="720">
        <f>D57</f>
        <v>147.47511081206957</v>
      </c>
      <c r="I57" s="347"/>
      <c r="J57" s="354"/>
      <c r="K57" s="355">
        <f t="shared" si="0"/>
        <v>30.88866195958797</v>
      </c>
      <c r="L57" s="355"/>
      <c r="M57" s="356">
        <f t="shared" si="3"/>
        <v>147.47511081206957</v>
      </c>
      <c r="N57" s="356"/>
      <c r="O57" s="917">
        <f>A57</f>
        <v>45000</v>
      </c>
      <c r="P57" s="915"/>
      <c r="Q57" s="263"/>
    </row>
    <row r="58" spans="1:16" ht="15">
      <c r="A58" s="1351">
        <v>46000</v>
      </c>
      <c r="B58" s="1345">
        <v>14020.803824875285</v>
      </c>
      <c r="C58" s="1350">
        <v>4.150575461108573</v>
      </c>
      <c r="D58" s="1350">
        <v>140.55459515970455</v>
      </c>
      <c r="E58" s="697"/>
      <c r="F58" s="692"/>
      <c r="G58" s="708"/>
      <c r="H58" s="695"/>
      <c r="I58" s="937"/>
      <c r="J58" s="932" t="s">
        <v>368</v>
      </c>
      <c r="K58" s="1124" t="s">
        <v>369</v>
      </c>
      <c r="L58" s="1125"/>
      <c r="M58" s="1125"/>
      <c r="N58" s="1125"/>
      <c r="O58" s="1125"/>
      <c r="P58" s="1126"/>
    </row>
    <row r="59" spans="1:16" ht="15">
      <c r="A59" s="1344">
        <v>47000</v>
      </c>
      <c r="B59" s="1345">
        <v>14325.603908024748</v>
      </c>
      <c r="C59" s="1350">
        <v>3.955802781930676</v>
      </c>
      <c r="D59" s="1350">
        <v>133.95883625192448</v>
      </c>
      <c r="E59" s="698"/>
      <c r="F59" s="690"/>
      <c r="G59" s="701"/>
      <c r="H59" s="327"/>
      <c r="I59" s="937"/>
      <c r="J59" s="941"/>
      <c r="K59" s="1127"/>
      <c r="L59" s="1128"/>
      <c r="M59" s="1128"/>
      <c r="N59" s="1128"/>
      <c r="O59" s="1128"/>
      <c r="P59" s="1129"/>
    </row>
    <row r="60" spans="1:16" ht="15">
      <c r="A60" s="1344">
        <v>48000</v>
      </c>
      <c r="B60" s="1345">
        <v>14630.403991174211</v>
      </c>
      <c r="C60" s="1350">
        <v>3.7701701357216058</v>
      </c>
      <c r="D60" s="1350">
        <v>127.67259433659937</v>
      </c>
      <c r="E60" s="698"/>
      <c r="F60" s="690"/>
      <c r="G60" s="701"/>
      <c r="H60" s="327"/>
      <c r="I60" s="937"/>
      <c r="J60" s="940" t="s">
        <v>366</v>
      </c>
      <c r="K60" s="1326" t="s">
        <v>367</v>
      </c>
      <c r="L60" s="1327"/>
      <c r="M60" s="1327"/>
      <c r="N60" s="1327"/>
      <c r="O60" s="1327"/>
      <c r="P60" s="1328"/>
    </row>
    <row r="61" spans="1:16" ht="15">
      <c r="A61" s="1344">
        <v>49000</v>
      </c>
      <c r="B61" s="1345">
        <v>14935.204074323674</v>
      </c>
      <c r="C61" s="1350">
        <v>3.593248611183208</v>
      </c>
      <c r="D61" s="1350">
        <v>121.68134481239713</v>
      </c>
      <c r="E61" s="698"/>
      <c r="F61" s="690"/>
      <c r="G61" s="701"/>
      <c r="H61" s="327"/>
      <c r="I61" s="937"/>
      <c r="J61" s="939"/>
      <c r="K61" s="1124"/>
      <c r="L61" s="1125"/>
      <c r="M61" s="1125"/>
      <c r="N61" s="1125"/>
      <c r="O61" s="1125"/>
      <c r="P61" s="1126"/>
    </row>
    <row r="62" spans="1:16" ht="15" customHeight="1">
      <c r="A62" s="1355">
        <v>50000</v>
      </c>
      <c r="B62" s="1356">
        <v>15240.004157473137</v>
      </c>
      <c r="C62" s="1357">
        <v>3.4246294243956767</v>
      </c>
      <c r="D62" s="1357">
        <v>115.97124466913893</v>
      </c>
      <c r="E62" s="699"/>
      <c r="F62" s="690"/>
      <c r="G62" s="701"/>
      <c r="H62" s="327"/>
      <c r="I62" s="937"/>
      <c r="J62" s="941"/>
      <c r="K62" s="1127"/>
      <c r="L62" s="1128"/>
      <c r="M62" s="1128"/>
      <c r="N62" s="1128"/>
      <c r="O62" s="1128"/>
      <c r="P62" s="1129"/>
    </row>
    <row r="63" spans="1:16" ht="15" customHeight="1">
      <c r="A63" s="1351">
        <v>51000</v>
      </c>
      <c r="B63" s="1345">
        <v>15544.8042406226</v>
      </c>
      <c r="C63" s="1350">
        <v>3.2639229743067415</v>
      </c>
      <c r="D63" s="1350">
        <v>110.52910050299707</v>
      </c>
      <c r="E63" s="1118">
        <v>100</v>
      </c>
      <c r="F63" s="1132">
        <v>51828</v>
      </c>
      <c r="G63" s="701"/>
      <c r="H63" s="327"/>
      <c r="I63" s="938"/>
      <c r="J63" s="940" t="s">
        <v>365</v>
      </c>
      <c r="K63" s="1333" t="s">
        <v>364</v>
      </c>
      <c r="L63" s="1334"/>
      <c r="M63" s="1334"/>
      <c r="N63" s="1334"/>
      <c r="O63" s="1334"/>
      <c r="P63" s="1335"/>
    </row>
    <row r="64" spans="1:18" ht="15" customHeight="1">
      <c r="A64" s="1344">
        <v>52000</v>
      </c>
      <c r="B64" s="1345">
        <v>15849.60432377206</v>
      </c>
      <c r="C64" s="1350">
        <v>3.1107579425435996</v>
      </c>
      <c r="D64" s="1350">
        <v>105.34233803263307</v>
      </c>
      <c r="E64" s="1119"/>
      <c r="F64" s="1132"/>
      <c r="G64" s="701"/>
      <c r="H64" s="327"/>
      <c r="I64" s="938"/>
      <c r="J64" s="1342"/>
      <c r="K64" s="1339"/>
      <c r="L64" s="1340"/>
      <c r="M64" s="1340"/>
      <c r="N64" s="1340"/>
      <c r="O64" s="1340"/>
      <c r="P64" s="1341"/>
      <c r="Q64" s="933"/>
      <c r="R64" s="934"/>
    </row>
    <row r="65" spans="1:18" ht="15">
      <c r="A65" s="1344">
        <v>53000</v>
      </c>
      <c r="B65" s="1345">
        <v>16154.404406921523</v>
      </c>
      <c r="C65" s="1350">
        <v>2.964780435467674</v>
      </c>
      <c r="D65" s="1350">
        <v>100.39897304584169</v>
      </c>
      <c r="E65" s="697"/>
      <c r="F65" s="692"/>
      <c r="G65" s="701"/>
      <c r="H65" s="327"/>
      <c r="I65" s="938"/>
      <c r="J65" s="1343"/>
      <c r="K65" s="1336"/>
      <c r="L65" s="1337"/>
      <c r="M65" s="1337"/>
      <c r="N65" s="1337"/>
      <c r="O65" s="1337"/>
      <c r="P65" s="1338"/>
      <c r="Q65" s="935"/>
      <c r="R65" s="936"/>
    </row>
    <row r="66" spans="1:9" ht="15">
      <c r="A66" s="1344">
        <v>54000</v>
      </c>
      <c r="B66" s="1345">
        <v>16459.204490070988</v>
      </c>
      <c r="C66" s="1350">
        <v>2.825653166489888</v>
      </c>
      <c r="D66" s="1350">
        <v>95.68758370957237</v>
      </c>
      <c r="E66" s="698"/>
      <c r="F66" s="690"/>
      <c r="G66" s="701"/>
      <c r="H66" s="327"/>
      <c r="I66" s="938"/>
    </row>
    <row r="67" spans="1:9" ht="15">
      <c r="A67" s="1355">
        <v>55000</v>
      </c>
      <c r="B67" s="1356">
        <v>16764.00457322045</v>
      </c>
      <c r="C67" s="1357">
        <v>2.693054676757154</v>
      </c>
      <c r="D67" s="1357">
        <v>91.19728417934894</v>
      </c>
      <c r="E67" s="698"/>
      <c r="F67" s="690"/>
      <c r="G67" s="701"/>
      <c r="H67" s="327"/>
      <c r="I67" s="938"/>
    </row>
    <row r="68" spans="1:9" ht="15">
      <c r="A68" s="1351">
        <v>56000</v>
      </c>
      <c r="B68" s="1345">
        <v>17068.804656369914</v>
      </c>
      <c r="C68" s="1350">
        <v>2.5666785924094526</v>
      </c>
      <c r="D68" s="1350">
        <v>86.91769944711146</v>
      </c>
      <c r="E68" s="698"/>
      <c r="F68" s="690"/>
      <c r="G68" s="701"/>
      <c r="H68" s="327"/>
      <c r="I68" s="358"/>
    </row>
    <row r="69" spans="1:9" ht="15">
      <c r="A69" s="1344">
        <v>57000</v>
      </c>
      <c r="B69" s="1345">
        <v>17373.604739519375</v>
      </c>
      <c r="C69" s="1350">
        <v>2.446232916691364</v>
      </c>
      <c r="D69" s="1350">
        <v>82.83894136936495</v>
      </c>
      <c r="E69" s="698"/>
      <c r="F69" s="690"/>
      <c r="G69" s="701"/>
      <c r="H69" s="327"/>
      <c r="I69" s="358"/>
    </row>
    <row r="70" spans="1:9" ht="15">
      <c r="A70" s="1344">
        <v>58000</v>
      </c>
      <c r="B70" s="1345">
        <v>17678.40482266884</v>
      </c>
      <c r="C70" s="1350">
        <v>2.33143935528244</v>
      </c>
      <c r="D70" s="1350">
        <v>78.95158582024729</v>
      </c>
      <c r="E70" s="698"/>
      <c r="F70" s="690"/>
      <c r="G70" s="701"/>
      <c r="H70" s="327"/>
      <c r="I70" s="358"/>
    </row>
    <row r="71" spans="1:10" ht="15">
      <c r="A71" s="1344">
        <v>59000</v>
      </c>
      <c r="B71" s="1345">
        <v>17983.2049058183</v>
      </c>
      <c r="C71" s="1350">
        <v>2.222032673287586</v>
      </c>
      <c r="D71" s="1350">
        <v>75.24665091672766</v>
      </c>
      <c r="E71" s="698"/>
      <c r="F71" s="690"/>
      <c r="G71" s="701"/>
      <c r="H71" s="327"/>
      <c r="I71" s="358"/>
      <c r="J71" s="263"/>
    </row>
    <row r="72" spans="1:10" ht="15">
      <c r="A72" s="1355">
        <v>60000</v>
      </c>
      <c r="B72" s="1356">
        <v>18288.004988967765</v>
      </c>
      <c r="C72" s="1357">
        <v>2.1177600824017304</v>
      </c>
      <c r="D72" s="1357">
        <v>71.71557626562362</v>
      </c>
      <c r="E72" s="698"/>
      <c r="F72" s="690"/>
      <c r="G72" s="701"/>
      <c r="H72" s="327"/>
      <c r="I72" s="358"/>
      <c r="J72" s="263"/>
    </row>
    <row r="73" spans="1:10" ht="15">
      <c r="A73" s="1351">
        <v>61000</v>
      </c>
      <c r="B73" s="1345">
        <v>18592.805072117226</v>
      </c>
      <c r="C73" s="1350">
        <v>2.018380656832819</v>
      </c>
      <c r="D73" s="1350">
        <v>68.35020318448667</v>
      </c>
      <c r="E73" s="698"/>
      <c r="F73" s="690"/>
      <c r="G73" s="701"/>
      <c r="H73" s="327"/>
      <c r="I73" s="358"/>
      <c r="J73" s="263"/>
    </row>
    <row r="74" spans="1:10" ht="14.25" customHeight="1">
      <c r="A74" s="1344">
        <v>62000</v>
      </c>
      <c r="B74" s="1345">
        <v>18897.60515526669</v>
      </c>
      <c r="C74" s="1350">
        <v>1.923664776633602</v>
      </c>
      <c r="D74" s="1350">
        <v>65.14275585065593</v>
      </c>
      <c r="E74" s="699"/>
      <c r="F74" s="691"/>
      <c r="G74" s="702"/>
      <c r="H74" s="327"/>
      <c r="I74" s="359"/>
      <c r="J74" s="263"/>
    </row>
    <row r="75" spans="1:13" ht="14.25" customHeight="1">
      <c r="A75" s="1344">
        <v>63000</v>
      </c>
      <c r="B75" s="1345">
        <v>19202.40523841615</v>
      </c>
      <c r="C75" s="1350">
        <v>1.833393597155996</v>
      </c>
      <c r="D75" s="1350">
        <v>62.0858233349235</v>
      </c>
      <c r="E75" s="713"/>
      <c r="F75" s="688"/>
      <c r="G75" s="717" t="s">
        <v>188</v>
      </c>
      <c r="H75" s="718">
        <f>D75</f>
        <v>62.0858233349235</v>
      </c>
      <c r="I75" s="359"/>
      <c r="J75" s="263"/>
      <c r="M75" s="357"/>
    </row>
    <row r="76" spans="1:13" ht="14.25" customHeight="1">
      <c r="A76" s="1344">
        <v>64000</v>
      </c>
      <c r="B76" s="1345">
        <v>19507.205321565612</v>
      </c>
      <c r="C76" s="1350">
        <v>1.7473585434021974</v>
      </c>
      <c r="D76" s="1350">
        <v>59.1723424783006</v>
      </c>
      <c r="E76" s="697"/>
      <c r="F76" s="692"/>
      <c r="G76" s="714"/>
      <c r="H76" s="695"/>
      <c r="I76" s="359"/>
      <c r="J76" s="263"/>
      <c r="M76" s="357"/>
    </row>
    <row r="77" spans="1:13" ht="14.25" customHeight="1">
      <c r="A77" s="1355">
        <v>65000</v>
      </c>
      <c r="B77" s="1356">
        <v>19812.005404715077</v>
      </c>
      <c r="C77" s="1357">
        <v>1.6653608281042003</v>
      </c>
      <c r="D77" s="1357">
        <v>56.395581572319514</v>
      </c>
      <c r="E77" s="901"/>
      <c r="F77" s="696"/>
      <c r="G77" s="902"/>
      <c r="H77" s="360"/>
      <c r="I77" s="359"/>
      <c r="J77" s="263"/>
      <c r="M77" s="357"/>
    </row>
    <row r="78" spans="1:10" ht="14.25" customHeight="1">
      <c r="A78" s="361"/>
      <c r="B78" s="362"/>
      <c r="C78" s="362"/>
      <c r="D78" s="362"/>
      <c r="E78" s="1133" t="s">
        <v>390</v>
      </c>
      <c r="F78" s="1133"/>
      <c r="G78" s="1133"/>
      <c r="H78" s="1324"/>
      <c r="I78" s="312"/>
      <c r="J78" s="263"/>
    </row>
    <row r="79" spans="1:9" ht="15">
      <c r="A79" s="363"/>
      <c r="B79" s="364"/>
      <c r="C79" s="364"/>
      <c r="D79" s="364"/>
      <c r="E79" s="1134"/>
      <c r="F79" s="1134"/>
      <c r="G79" s="1134"/>
      <c r="H79" s="1325"/>
      <c r="I79" s="263"/>
    </row>
    <row r="80" spans="1:9" ht="12" customHeight="1">
      <c r="A80" s="363"/>
      <c r="B80" s="364"/>
      <c r="C80" s="364"/>
      <c r="D80" s="348"/>
      <c r="E80" s="1120" t="s">
        <v>343</v>
      </c>
      <c r="F80" s="1120"/>
      <c r="G80" s="1120"/>
      <c r="H80" s="1120"/>
      <c r="I80" s="263"/>
    </row>
    <row r="81" spans="1:9" ht="12" customHeight="1">
      <c r="A81" s="365"/>
      <c r="B81" s="366"/>
      <c r="C81" s="1348"/>
      <c r="D81" s="364"/>
      <c r="E81" s="1122" t="s">
        <v>346</v>
      </c>
      <c r="F81" s="1122"/>
      <c r="G81" s="1122"/>
      <c r="H81" s="1122"/>
      <c r="I81" s="263"/>
    </row>
    <row r="82" spans="2:10" ht="12" customHeight="1">
      <c r="B82" s="367"/>
      <c r="C82" s="367"/>
      <c r="D82" s="348"/>
      <c r="E82" s="912" t="s">
        <v>348</v>
      </c>
      <c r="H82" s="348"/>
      <c r="I82" s="913"/>
      <c r="J82" s="907"/>
    </row>
    <row r="83" spans="2:9" ht="12" customHeight="1">
      <c r="B83" s="367"/>
      <c r="C83" s="367"/>
      <c r="D83" s="348"/>
      <c r="E83" s="1318" t="s">
        <v>349</v>
      </c>
      <c r="H83" s="348"/>
      <c r="I83" s="263"/>
    </row>
    <row r="84" spans="4:9" ht="12" customHeight="1">
      <c r="D84" s="348"/>
      <c r="E84" s="1319" t="s">
        <v>353</v>
      </c>
      <c r="H84" s="348"/>
      <c r="I84" s="263"/>
    </row>
    <row r="85" spans="4:9" ht="12" customHeight="1">
      <c r="D85" s="348"/>
      <c r="E85" s="1319" t="s">
        <v>352</v>
      </c>
      <c r="H85" s="348"/>
      <c r="I85" s="263"/>
    </row>
    <row r="86" spans="4:9" ht="12" customHeight="1">
      <c r="D86" s="348"/>
      <c r="E86" s="1319" t="s">
        <v>350</v>
      </c>
      <c r="H86" s="348"/>
      <c r="I86" s="263"/>
    </row>
    <row r="87" spans="4:9" ht="12" customHeight="1">
      <c r="D87" s="348"/>
      <c r="E87" s="1319" t="s">
        <v>351</v>
      </c>
      <c r="H87" s="348"/>
      <c r="I87" s="263"/>
    </row>
    <row r="88" spans="4:11" ht="12" customHeight="1">
      <c r="D88" s="348"/>
      <c r="E88" s="1319" t="s">
        <v>354</v>
      </c>
      <c r="H88" s="348"/>
      <c r="I88" s="350"/>
      <c r="J88" s="310"/>
      <c r="K88" s="310"/>
    </row>
    <row r="89" spans="4:11" ht="12" customHeight="1">
      <c r="D89" s="348"/>
      <c r="E89" s="1130" t="s">
        <v>189</v>
      </c>
      <c r="F89" s="1130"/>
      <c r="G89" s="1130"/>
      <c r="H89" s="1323"/>
      <c r="I89" s="345"/>
      <c r="J89" s="318"/>
      <c r="K89" s="318"/>
    </row>
    <row r="90" spans="4:9" ht="12" customHeight="1">
      <c r="D90" s="348"/>
      <c r="E90" s="1123" t="s">
        <v>342</v>
      </c>
      <c r="F90" s="1123"/>
      <c r="G90" s="367"/>
      <c r="H90" s="367"/>
      <c r="I90" s="263"/>
    </row>
    <row r="91" spans="4:10" ht="12" customHeight="1">
      <c r="D91" s="348"/>
      <c r="E91" s="1122" t="s">
        <v>388</v>
      </c>
      <c r="F91" s="1122"/>
      <c r="G91" s="1122"/>
      <c r="H91" s="1122"/>
      <c r="I91" s="263"/>
      <c r="J91" s="903"/>
    </row>
    <row r="92" spans="4:12" ht="12" customHeight="1">
      <c r="D92" s="348"/>
      <c r="E92" s="1131" t="s">
        <v>190</v>
      </c>
      <c r="F92" s="1131"/>
      <c r="G92" s="1131"/>
      <c r="H92" s="1322"/>
      <c r="I92" s="263"/>
      <c r="J92" s="263"/>
      <c r="K92" s="904"/>
      <c r="L92" s="904"/>
    </row>
    <row r="93" spans="4:9" ht="12" customHeight="1">
      <c r="D93" s="348"/>
      <c r="E93" s="908" t="s">
        <v>355</v>
      </c>
      <c r="F93" s="318"/>
      <c r="G93" s="318"/>
      <c r="H93" s="1321"/>
      <c r="I93" s="263"/>
    </row>
    <row r="94" spans="4:9" ht="12" customHeight="1">
      <c r="D94" s="348"/>
      <c r="E94" s="905" t="s">
        <v>344</v>
      </c>
      <c r="H94" s="348"/>
      <c r="I94" s="263"/>
    </row>
    <row r="95" spans="4:9" ht="12" customHeight="1">
      <c r="D95" s="348"/>
      <c r="E95" s="1121" t="s">
        <v>345</v>
      </c>
      <c r="F95" s="1121"/>
      <c r="G95" s="1121"/>
      <c r="H95" s="1320"/>
      <c r="I95" s="263"/>
    </row>
    <row r="96" spans="4:9" ht="12" customHeight="1">
      <c r="D96" s="348"/>
      <c r="E96" s="1120" t="s">
        <v>347</v>
      </c>
      <c r="F96" s="1120"/>
      <c r="G96" s="1120"/>
      <c r="H96" s="1120"/>
      <c r="I96" s="263"/>
    </row>
    <row r="97" spans="4:9" ht="12" customHeight="1">
      <c r="D97" s="348"/>
      <c r="E97" s="1329"/>
      <c r="F97" s="1329"/>
      <c r="G97" s="1329"/>
      <c r="H97" s="1329"/>
      <c r="I97" s="263"/>
    </row>
    <row r="98" spans="4:9" ht="12" customHeight="1">
      <c r="D98" s="348"/>
      <c r="E98" s="1125" t="s">
        <v>391</v>
      </c>
      <c r="F98" s="1125"/>
      <c r="G98" s="1125"/>
      <c r="H98" s="1125"/>
      <c r="I98" s="263"/>
    </row>
    <row r="99" spans="4:9" ht="15">
      <c r="D99" s="348"/>
      <c r="E99" s="1125"/>
      <c r="F99" s="1125"/>
      <c r="G99" s="1125"/>
      <c r="H99" s="1125"/>
      <c r="I99" s="345"/>
    </row>
    <row r="100" spans="4:9" ht="15">
      <c r="D100" s="348"/>
      <c r="E100" s="1125"/>
      <c r="F100" s="1125"/>
      <c r="G100" s="1125"/>
      <c r="H100" s="1125"/>
      <c r="I100" s="263"/>
    </row>
    <row r="101" spans="4:9" ht="14.25" customHeight="1">
      <c r="D101" s="348"/>
      <c r="E101" s="1330" t="s">
        <v>191</v>
      </c>
      <c r="F101" s="1331"/>
      <c r="G101" s="1331"/>
      <c r="H101" s="1332"/>
      <c r="I101" s="263"/>
    </row>
    <row r="102" spans="5:8" ht="15">
      <c r="E102" s="318"/>
      <c r="F102" s="318"/>
      <c r="G102" s="318"/>
      <c r="H102" s="318"/>
    </row>
    <row r="103" spans="1:2" ht="15">
      <c r="A103" s="974" t="s">
        <v>387</v>
      </c>
      <c r="B103" s="318"/>
    </row>
    <row r="104" spans="1:2" ht="15">
      <c r="A104" s="306" t="s">
        <v>167</v>
      </c>
      <c r="B104" s="305"/>
    </row>
    <row r="105" spans="1:2" ht="15">
      <c r="A105" s="304"/>
      <c r="B105" s="305" t="s">
        <v>168</v>
      </c>
    </row>
  </sheetData>
  <sheetProtection sheet="1"/>
  <mergeCells count="43">
    <mergeCell ref="K63:P64"/>
    <mergeCell ref="K60:P62"/>
    <mergeCell ref="K58:P59"/>
    <mergeCell ref="E89:H89"/>
    <mergeCell ref="E92:H92"/>
    <mergeCell ref="E101:H101"/>
    <mergeCell ref="E98:H100"/>
    <mergeCell ref="E91:H91"/>
    <mergeCell ref="F63:F64"/>
    <mergeCell ref="E78:H79"/>
    <mergeCell ref="E50:E51"/>
    <mergeCell ref="F50:F51"/>
    <mergeCell ref="E56:E57"/>
    <mergeCell ref="F56:F57"/>
    <mergeCell ref="E63:E64"/>
    <mergeCell ref="E96:H97"/>
    <mergeCell ref="E95:H95"/>
    <mergeCell ref="E81:H81"/>
    <mergeCell ref="E80:H80"/>
    <mergeCell ref="E90:F90"/>
    <mergeCell ref="E29:E30"/>
    <mergeCell ref="F29:F30"/>
    <mergeCell ref="E42:E43"/>
    <mergeCell ref="F42:F43"/>
    <mergeCell ref="E45:E46"/>
    <mergeCell ref="F45:F46"/>
    <mergeCell ref="E35:E36"/>
    <mergeCell ref="F35:F36"/>
    <mergeCell ref="E7:E8"/>
    <mergeCell ref="F7:F8"/>
    <mergeCell ref="E16:E17"/>
    <mergeCell ref="F16:F17"/>
    <mergeCell ref="E21:E22"/>
    <mergeCell ref="F21:F22"/>
    <mergeCell ref="A1:H1"/>
    <mergeCell ref="A3:D3"/>
    <mergeCell ref="E3:F3"/>
    <mergeCell ref="G3:H3"/>
    <mergeCell ref="J3:P3"/>
    <mergeCell ref="A4:B5"/>
    <mergeCell ref="C4:C5"/>
    <mergeCell ref="D4:D5"/>
    <mergeCell ref="F5:G5"/>
  </mergeCells>
  <conditionalFormatting sqref="K7:K57">
    <cfRule type="cellIs" priority="1" dxfId="15" operator="lessThan" stopIfTrue="1">
      <formula>160</formula>
    </cfRule>
    <cfRule type="cellIs" priority="2" dxfId="16" operator="lessThan" stopIfTrue="1">
      <formula>160</formula>
    </cfRule>
  </conditionalFormatting>
  <conditionalFormatting sqref="M7:M57">
    <cfRule type="cellIs" priority="3" dxfId="16" operator="lessThan" stopIfTrue="1">
      <formula>212.78</formula>
    </cfRule>
  </conditionalFormatting>
  <conditionalFormatting sqref="O7:O57 P7:P21 P23:P49">
    <cfRule type="expression" priority="4" dxfId="17" stopIfTrue="1">
      <formula>'Pressure--Charts &amp; Key Numbers'!$M$7:$M$74&lt;'Pressure--Charts &amp; Key Numbers'!$K$7</formula>
    </cfRule>
  </conditionalFormatting>
  <hyperlinks>
    <hyperlink ref="E89" r:id="rId1" display="http://weather.noaa.gov/fax/nwsfax.html"/>
    <hyperlink ref="E92" r:id="rId2" display="http://weather.noaa.gov/fax/gtsstd.shtml"/>
    <hyperlink ref="E101" r:id="rId3" display="http://weather.noaa.gov/fax/wafsfax.shtml"/>
    <hyperlink ref="E95" r:id="rId4" display="http://jeppesen.com/aviation/personal/aviation-weather.jsp"/>
  </hyperlinks>
  <printOptions/>
  <pageMargins left="0.7" right="0.7" top="0.75" bottom="0.75" header="0.5118055555555555" footer="0.5118055555555555"/>
  <pageSetup horizontalDpi="300" verticalDpi="300" orientation="portrait" r:id="rId5"/>
</worksheet>
</file>

<file path=xl/worksheets/sheet7.xml><?xml version="1.0" encoding="utf-8"?>
<worksheet xmlns="http://schemas.openxmlformats.org/spreadsheetml/2006/main" xmlns:r="http://schemas.openxmlformats.org/officeDocument/2006/relationships">
  <dimension ref="A1:P28"/>
  <sheetViews>
    <sheetView showGridLines="0" zoomScalePageLayoutView="0" workbookViewId="0" topLeftCell="A1">
      <selection activeCell="A1" sqref="A1:K1"/>
    </sheetView>
  </sheetViews>
  <sheetFormatPr defaultColWidth="9.140625" defaultRowHeight="15" customHeight="1"/>
  <cols>
    <col min="1" max="1" width="4.7109375" style="0" customWidth="1"/>
    <col min="2" max="4" width="9.140625" style="0" customWidth="1"/>
    <col min="5" max="6" width="9.7109375" style="0" customWidth="1"/>
    <col min="7" max="13" width="8.7109375" style="0" customWidth="1"/>
  </cols>
  <sheetData>
    <row r="1" spans="1:11" ht="15" customHeight="1">
      <c r="A1" s="1045" t="s">
        <v>192</v>
      </c>
      <c r="B1" s="1045"/>
      <c r="C1" s="1045"/>
      <c r="D1" s="1045"/>
      <c r="E1" s="1045"/>
      <c r="F1" s="1045"/>
      <c r="G1" s="1045"/>
      <c r="H1" s="1045"/>
      <c r="I1" s="1045"/>
      <c r="J1" s="1045"/>
      <c r="K1" s="1045"/>
    </row>
    <row r="2" ht="15" customHeight="1">
      <c r="A2" t="s">
        <v>392</v>
      </c>
    </row>
    <row r="4" spans="2:13" ht="15" customHeight="1">
      <c r="B4" s="1032" t="s">
        <v>193</v>
      </c>
      <c r="C4" s="1032"/>
      <c r="D4" s="1032"/>
      <c r="E4" s="1032"/>
      <c r="F4" s="1032"/>
      <c r="G4" s="84"/>
      <c r="H4" s="84"/>
      <c r="I4" s="1032"/>
      <c r="J4" s="1032"/>
      <c r="K4" s="1032"/>
      <c r="L4" s="1196"/>
      <c r="M4" s="1196"/>
    </row>
    <row r="5" spans="2:13" ht="15" customHeight="1">
      <c r="B5" s="985" t="s">
        <v>194</v>
      </c>
      <c r="C5" s="1140" t="s">
        <v>174</v>
      </c>
      <c r="D5" s="1141"/>
      <c r="E5" s="1137" t="s">
        <v>147</v>
      </c>
      <c r="F5" s="1138"/>
      <c r="G5" s="1303" t="s">
        <v>148</v>
      </c>
      <c r="H5" s="1304"/>
      <c r="I5" s="1300" t="s">
        <v>149</v>
      </c>
      <c r="J5" s="1301"/>
      <c r="K5" s="1301"/>
      <c r="L5" s="1301"/>
      <c r="M5" s="1302"/>
    </row>
    <row r="6" spans="2:13" ht="15" customHeight="1">
      <c r="B6" s="1290" t="s">
        <v>173</v>
      </c>
      <c r="C6" s="1291" t="s">
        <v>195</v>
      </c>
      <c r="D6" s="1292" t="s">
        <v>196</v>
      </c>
      <c r="E6" s="1293" t="s">
        <v>151</v>
      </c>
      <c r="F6" s="1294" t="s">
        <v>152</v>
      </c>
      <c r="G6" s="1298" t="s">
        <v>153</v>
      </c>
      <c r="H6" s="1299" t="s">
        <v>154</v>
      </c>
      <c r="I6" s="1295" t="s">
        <v>155</v>
      </c>
      <c r="J6" s="1296" t="s">
        <v>198</v>
      </c>
      <c r="K6" s="1296" t="s">
        <v>127</v>
      </c>
      <c r="L6" s="1296" t="s">
        <v>157</v>
      </c>
      <c r="M6" s="1297" t="s">
        <v>55</v>
      </c>
    </row>
    <row r="7" spans="2:13" ht="15" customHeight="1">
      <c r="B7" s="1281">
        <v>1000</v>
      </c>
      <c r="C7" s="1264">
        <v>363.7944</v>
      </c>
      <c r="D7" s="1265" t="s">
        <v>199</v>
      </c>
      <c r="E7" s="1266">
        <v>4781.1692975</v>
      </c>
      <c r="F7" s="1267">
        <v>1457.3003996629034</v>
      </c>
      <c r="G7" s="1309">
        <f>M7*Conversions!A$67</f>
        <v>29.530099980709167</v>
      </c>
      <c r="H7" s="1268">
        <v>750.0616827041697</v>
      </c>
      <c r="I7" s="1282">
        <v>14.503824327658524</v>
      </c>
      <c r="J7" s="1278">
        <v>1.0197878114976562</v>
      </c>
      <c r="K7" s="1279">
        <f>L7*1000</f>
        <v>10000</v>
      </c>
      <c r="L7" s="1310">
        <v>10</v>
      </c>
      <c r="M7" s="1305">
        <v>1000</v>
      </c>
    </row>
    <row r="8" spans="2:13" ht="15" customHeight="1">
      <c r="B8" s="1269">
        <v>850</v>
      </c>
      <c r="C8" s="1264">
        <v>4781.1692975</v>
      </c>
      <c r="D8" s="1265" t="s">
        <v>178</v>
      </c>
      <c r="E8" s="1266">
        <v>6394.321174</v>
      </c>
      <c r="F8" s="1267">
        <v>1948.9890908727366</v>
      </c>
      <c r="G8" s="1282">
        <f>M8*Conversions!A$67</f>
        <v>25.100584983602793</v>
      </c>
      <c r="H8" s="1268">
        <v>637.5524302985443</v>
      </c>
      <c r="I8" s="1282">
        <v>12.328250678509745</v>
      </c>
      <c r="J8" s="1278">
        <v>0.8668196397730078</v>
      </c>
      <c r="K8" s="1279">
        <f aca="true" t="shared" si="0" ref="K8:K15">L8*1000</f>
        <v>8500</v>
      </c>
      <c r="L8" s="1310">
        <v>8.5</v>
      </c>
      <c r="M8" s="1305">
        <v>850</v>
      </c>
    </row>
    <row r="9" spans="2:13" ht="15" customHeight="1">
      <c r="B9" s="1269">
        <v>700</v>
      </c>
      <c r="C9" s="1270">
        <v>9882.4883</v>
      </c>
      <c r="D9" s="1271" t="s">
        <v>179</v>
      </c>
      <c r="E9" s="1272">
        <v>9882.4883</v>
      </c>
      <c r="F9" s="1273">
        <v>3012.182429261483</v>
      </c>
      <c r="G9" s="1283">
        <f>M9*Conversions!A$67</f>
        <v>20.671069986496416</v>
      </c>
      <c r="H9" s="1274">
        <v>525.0431778929188</v>
      </c>
      <c r="I9" s="1283">
        <v>10.152677029360966</v>
      </c>
      <c r="J9" s="1275">
        <v>0.7138514680483594</v>
      </c>
      <c r="K9" s="1276">
        <f t="shared" si="0"/>
        <v>7000</v>
      </c>
      <c r="L9" s="1311">
        <v>7</v>
      </c>
      <c r="M9" s="1306">
        <v>700</v>
      </c>
    </row>
    <row r="10" spans="2:13" ht="15" customHeight="1">
      <c r="B10" s="1269">
        <v>500</v>
      </c>
      <c r="C10" s="1280">
        <v>18288.836159</v>
      </c>
      <c r="D10" s="1270" t="s">
        <v>200</v>
      </c>
      <c r="E10" s="1272">
        <v>18288.836159</v>
      </c>
      <c r="F10" s="1273">
        <v>5574.437252790055</v>
      </c>
      <c r="G10" s="1283">
        <f>M10*Conversions!A$67</f>
        <v>14.765049990354584</v>
      </c>
      <c r="H10" s="1274">
        <v>375.03084135208485</v>
      </c>
      <c r="I10" s="1283">
        <v>7.251912163829262</v>
      </c>
      <c r="J10" s="1275">
        <v>0.5098939057488281</v>
      </c>
      <c r="K10" s="1276">
        <f t="shared" si="0"/>
        <v>5000</v>
      </c>
      <c r="L10" s="1311">
        <v>5</v>
      </c>
      <c r="M10" s="1306">
        <v>500</v>
      </c>
    </row>
    <row r="11" spans="2:13" ht="15" customHeight="1">
      <c r="B11" s="1263">
        <v>300</v>
      </c>
      <c r="C11" s="1277">
        <v>30065.47432</v>
      </c>
      <c r="D11" s="1264" t="s">
        <v>183</v>
      </c>
      <c r="E11" s="1266">
        <v>30065.47432</v>
      </c>
      <c r="F11" s="1267">
        <v>9163.956558806787</v>
      </c>
      <c r="G11" s="1284">
        <f>M11*Conversions!A$67</f>
        <v>8.85902999421275</v>
      </c>
      <c r="H11" s="1268">
        <v>225.01850481125092</v>
      </c>
      <c r="I11" s="1284">
        <v>4.351147298297557</v>
      </c>
      <c r="J11" s="1278">
        <v>0.3059363434492969</v>
      </c>
      <c r="K11" s="1279">
        <f t="shared" si="0"/>
        <v>3000</v>
      </c>
      <c r="L11" s="1310">
        <v>3</v>
      </c>
      <c r="M11" s="1307">
        <v>300</v>
      </c>
    </row>
    <row r="12" spans="2:13" ht="15" customHeight="1">
      <c r="B12" s="1263">
        <v>250</v>
      </c>
      <c r="C12" s="1277">
        <v>33999.1637</v>
      </c>
      <c r="D12" s="1264" t="s">
        <v>184</v>
      </c>
      <c r="E12" s="1266">
        <v>33999.1637</v>
      </c>
      <c r="F12" s="1267">
        <v>10362.945080008323</v>
      </c>
      <c r="G12" s="1284">
        <f>M12*Conversions!A$67</f>
        <v>7.382524995177292</v>
      </c>
      <c r="H12" s="1268">
        <v>187.51542067604242</v>
      </c>
      <c r="I12" s="1284">
        <v>3.625956081914631</v>
      </c>
      <c r="J12" s="1278">
        <v>0.25494695287441405</v>
      </c>
      <c r="K12" s="1279">
        <f t="shared" si="0"/>
        <v>2500</v>
      </c>
      <c r="L12" s="1310">
        <v>2.5</v>
      </c>
      <c r="M12" s="1307">
        <v>250</v>
      </c>
    </row>
    <row r="13" spans="2:13" ht="15" customHeight="1">
      <c r="B13" s="1263">
        <v>200</v>
      </c>
      <c r="C13" s="1277">
        <v>38631.556521</v>
      </c>
      <c r="D13" s="1264" t="s">
        <v>185</v>
      </c>
      <c r="E13" s="1266">
        <v>38631.556521</v>
      </c>
      <c r="F13" s="1267">
        <v>11774.898409702953</v>
      </c>
      <c r="G13" s="1284">
        <f>M13*Conversions!A$67</f>
        <v>5.906019996141834</v>
      </c>
      <c r="H13" s="1268">
        <v>150.01233654083396</v>
      </c>
      <c r="I13" s="1284">
        <v>2.9007648655317047</v>
      </c>
      <c r="J13" s="1278">
        <v>0.20395756229953124</v>
      </c>
      <c r="K13" s="1279">
        <f t="shared" si="0"/>
        <v>2000</v>
      </c>
      <c r="L13" s="1310">
        <v>2</v>
      </c>
      <c r="M13" s="1307">
        <v>200</v>
      </c>
    </row>
    <row r="14" spans="2:16" ht="15" customHeight="1">
      <c r="B14" s="1263">
        <v>150</v>
      </c>
      <c r="C14" s="1277">
        <v>44647.00272</v>
      </c>
      <c r="D14" s="1264" t="s">
        <v>187</v>
      </c>
      <c r="E14" s="1266">
        <v>44647.00272</v>
      </c>
      <c r="F14" s="1267">
        <v>13608.406408371222</v>
      </c>
      <c r="G14" s="1284">
        <f>M14*Conversions!A$67</f>
        <v>4.429514997106375</v>
      </c>
      <c r="H14" s="1268">
        <v>112.50925240562546</v>
      </c>
      <c r="I14" s="1284">
        <v>2.1755736491487787</v>
      </c>
      <c r="J14" s="1278">
        <v>0.15296817172464844</v>
      </c>
      <c r="K14" s="1279">
        <f t="shared" si="0"/>
        <v>1500</v>
      </c>
      <c r="L14" s="1310">
        <v>1.5</v>
      </c>
      <c r="M14" s="1307">
        <v>150</v>
      </c>
      <c r="P14" s="65"/>
    </row>
    <row r="15" spans="2:13" ht="15" customHeight="1">
      <c r="B15" s="986">
        <v>100</v>
      </c>
      <c r="C15" s="918">
        <v>53083.04454</v>
      </c>
      <c r="D15" s="1209" t="s">
        <v>201</v>
      </c>
      <c r="E15" s="1210">
        <v>53083.04454</v>
      </c>
      <c r="F15" s="1211">
        <v>16179.711951198839</v>
      </c>
      <c r="G15" s="1285">
        <f>M15*Conversions!A$67</f>
        <v>2.953009998070917</v>
      </c>
      <c r="H15" s="1212">
        <v>75.00616827041698</v>
      </c>
      <c r="I15" s="1285">
        <v>1.4503824327658523</v>
      </c>
      <c r="J15" s="1213">
        <v>0.10197878114976562</v>
      </c>
      <c r="K15" s="1214">
        <f t="shared" si="0"/>
        <v>1000</v>
      </c>
      <c r="L15" s="1312">
        <v>1</v>
      </c>
      <c r="M15" s="1308">
        <v>100</v>
      </c>
    </row>
    <row r="16" spans="2:12" ht="15" customHeight="1">
      <c r="B16" s="401"/>
      <c r="C16" s="366"/>
      <c r="D16" s="366"/>
      <c r="E16" s="366"/>
      <c r="F16" s="366"/>
      <c r="G16" s="366"/>
      <c r="H16" s="366"/>
      <c r="I16" s="366"/>
      <c r="J16" s="366"/>
      <c r="K16" s="1195"/>
      <c r="L16" s="65"/>
    </row>
    <row r="17" spans="2:13" ht="15" customHeight="1">
      <c r="B17" s="1136" t="s">
        <v>202</v>
      </c>
      <c r="C17" s="1136"/>
      <c r="D17" s="1136"/>
      <c r="E17" s="1136"/>
      <c r="F17" s="1136"/>
      <c r="G17" s="1136"/>
      <c r="H17" s="1136"/>
      <c r="I17" s="1136"/>
      <c r="J17" s="1136"/>
      <c r="K17" s="1136"/>
      <c r="L17" s="1196"/>
      <c r="M17" s="1196"/>
    </row>
    <row r="18" spans="2:13" ht="15" customHeight="1">
      <c r="B18" s="1137" t="s">
        <v>174</v>
      </c>
      <c r="C18" s="1138"/>
      <c r="D18" s="978" t="s">
        <v>194</v>
      </c>
      <c r="E18" s="1137" t="s">
        <v>147</v>
      </c>
      <c r="F18" s="1138"/>
      <c r="G18" s="1303" t="s">
        <v>148</v>
      </c>
      <c r="H18" s="1304"/>
      <c r="I18" s="1300" t="s">
        <v>149</v>
      </c>
      <c r="J18" s="1301"/>
      <c r="K18" s="1301"/>
      <c r="L18" s="1301"/>
      <c r="M18" s="1302"/>
    </row>
    <row r="19" spans="2:13" ht="15" customHeight="1">
      <c r="B19" s="371" t="s">
        <v>195</v>
      </c>
      <c r="C19" s="979" t="s">
        <v>196</v>
      </c>
      <c r="D19" s="980" t="s">
        <v>173</v>
      </c>
      <c r="E19" s="1293" t="s">
        <v>151</v>
      </c>
      <c r="F19" s="1294" t="s">
        <v>152</v>
      </c>
      <c r="G19" s="1298" t="s">
        <v>153</v>
      </c>
      <c r="H19" s="1299" t="s">
        <v>154</v>
      </c>
      <c r="I19" s="1295" t="s">
        <v>155</v>
      </c>
      <c r="J19" s="1296" t="s">
        <v>198</v>
      </c>
      <c r="K19" s="1296" t="s">
        <v>127</v>
      </c>
      <c r="L19" s="1296" t="s">
        <v>157</v>
      </c>
      <c r="M19" s="1297" t="s">
        <v>55</v>
      </c>
    </row>
    <row r="20" spans="2:13" ht="15" customHeight="1">
      <c r="B20" s="402">
        <v>5000</v>
      </c>
      <c r="C20" s="981" t="s">
        <v>203</v>
      </c>
      <c r="D20" s="404">
        <v>843.0727481546201</v>
      </c>
      <c r="E20" s="919">
        <v>5000</v>
      </c>
      <c r="F20" s="924">
        <v>1523.99999768352</v>
      </c>
      <c r="G20" s="1309">
        <f>M20*Conversions!A$67</f>
        <v>24.89602254401717</v>
      </c>
      <c r="H20" s="1268">
        <v>632.356564122883</v>
      </c>
      <c r="I20" s="1282">
        <v>12.227779034670906</v>
      </c>
      <c r="J20" s="1278">
        <v>0.8597553127739147</v>
      </c>
      <c r="K20" s="1279">
        <f>L20*1000</f>
        <v>8430.7274815462</v>
      </c>
      <c r="L20" s="1310">
        <v>8.430727481546201</v>
      </c>
      <c r="M20" s="1286">
        <v>843.0727481546201</v>
      </c>
    </row>
    <row r="21" spans="2:13" ht="15" customHeight="1">
      <c r="B21" s="402">
        <v>10000</v>
      </c>
      <c r="C21" s="982" t="s">
        <v>203</v>
      </c>
      <c r="D21" s="404">
        <v>796.8095164488492</v>
      </c>
      <c r="E21" s="920">
        <v>10000</v>
      </c>
      <c r="F21" s="924">
        <v>3047.99999536704</v>
      </c>
      <c r="G21" s="1282">
        <f>M21*Conversions!A$67</f>
        <v>23.529864686315044</v>
      </c>
      <c r="H21" s="1268">
        <v>597.6562867023197</v>
      </c>
      <c r="I21" s="1282">
        <v>11.556785249180644</v>
      </c>
      <c r="J21" s="1278">
        <v>0.8125766329598777</v>
      </c>
      <c r="K21" s="1279">
        <f aca="true" t="shared" si="1" ref="K21:K28">L21*1000</f>
        <v>7968.095164488492</v>
      </c>
      <c r="L21" s="1310">
        <v>7.968095164488492</v>
      </c>
      <c r="M21" s="1286">
        <v>796.8095164488492</v>
      </c>
    </row>
    <row r="22" spans="2:13" ht="15" customHeight="1">
      <c r="B22" s="987">
        <v>18000</v>
      </c>
      <c r="C22" s="983" t="s">
        <v>200</v>
      </c>
      <c r="D22" s="409">
        <v>696.8165891625348</v>
      </c>
      <c r="E22" s="921">
        <v>18000</v>
      </c>
      <c r="F22" s="924">
        <v>5486.399991660672</v>
      </c>
      <c r="G22" s="1283">
        <f>M22*Conversions!A$67</f>
        <v>20.577063546186398</v>
      </c>
      <c r="H22" s="1274">
        <v>522.655423403431</v>
      </c>
      <c r="I22" s="1283">
        <v>10.106505397811606</v>
      </c>
      <c r="J22" s="1275">
        <v>0.7106050644773229</v>
      </c>
      <c r="K22" s="1276">
        <f t="shared" si="1"/>
        <v>6968.165891625347</v>
      </c>
      <c r="L22" s="1311">
        <v>6.968165891625348</v>
      </c>
      <c r="M22" s="1287">
        <v>696.8165891625348</v>
      </c>
    </row>
    <row r="23" spans="2:13" ht="15" customHeight="1">
      <c r="B23" s="987">
        <v>24000</v>
      </c>
      <c r="C23" s="983" t="s">
        <v>182</v>
      </c>
      <c r="D23" s="409">
        <v>505.9984405740328</v>
      </c>
      <c r="E23" s="921">
        <v>24000</v>
      </c>
      <c r="F23" s="924">
        <v>7315.199988880896</v>
      </c>
      <c r="G23" s="1283">
        <f>M23*Conversions!A$67</f>
        <v>14.942184540234116</v>
      </c>
      <c r="H23" s="1274">
        <v>379.5300417826449</v>
      </c>
      <c r="I23" s="1283">
        <v>7.338912492154933</v>
      </c>
      <c r="J23" s="1275">
        <v>0.5160110423342198</v>
      </c>
      <c r="K23" s="1276">
        <f t="shared" si="1"/>
        <v>5059.984405740329</v>
      </c>
      <c r="L23" s="1311">
        <v>5.0599844057403285</v>
      </c>
      <c r="M23" s="1287">
        <v>505.9984405740328</v>
      </c>
    </row>
    <row r="24" spans="2:13" ht="15" customHeight="1">
      <c r="B24" s="987">
        <v>30000</v>
      </c>
      <c r="C24" s="983" t="s">
        <v>183</v>
      </c>
      <c r="D24" s="409">
        <v>300.89586753403194</v>
      </c>
      <c r="E24" s="922">
        <v>30000</v>
      </c>
      <c r="F24" s="924">
        <v>9143.99998610112</v>
      </c>
      <c r="G24" s="1284">
        <f>M24*Conversions!A$67</f>
        <v>8.885485052062185</v>
      </c>
      <c r="H24" s="1268">
        <v>225.69046072130695</v>
      </c>
      <c r="I24" s="1284">
        <v>4.364140803632009</v>
      </c>
      <c r="J24" s="1278">
        <v>0.3068499382412191</v>
      </c>
      <c r="K24" s="1279">
        <f t="shared" si="1"/>
        <v>3008.9586753403196</v>
      </c>
      <c r="L24" s="1310">
        <v>3.0089586753403195</v>
      </c>
      <c r="M24" s="1288">
        <v>300.89586753403194</v>
      </c>
    </row>
    <row r="25" spans="2:13" ht="15" customHeight="1">
      <c r="B25" s="987">
        <v>34000</v>
      </c>
      <c r="C25" s="983" t="s">
        <v>184</v>
      </c>
      <c r="D25" s="409">
        <v>249.99013974536305</v>
      </c>
      <c r="E25" s="921">
        <v>34000</v>
      </c>
      <c r="F25" s="924">
        <v>10363.199984247936</v>
      </c>
      <c r="G25" s="1284">
        <f>M25*Conversions!A$67</f>
        <v>7.3822338208720275</v>
      </c>
      <c r="H25" s="1268">
        <v>187.50802487685755</v>
      </c>
      <c r="I25" s="1284">
        <v>3.6258130705135505</v>
      </c>
      <c r="J25" s="1278">
        <v>0.25493689750691706</v>
      </c>
      <c r="K25" s="1279">
        <f t="shared" si="1"/>
        <v>2499.9013974536306</v>
      </c>
      <c r="L25" s="1310">
        <v>2.4999013974536304</v>
      </c>
      <c r="M25" s="1288">
        <v>249.99013974536305</v>
      </c>
    </row>
    <row r="26" spans="2:13" ht="15" customHeight="1">
      <c r="B26" s="987">
        <v>39000</v>
      </c>
      <c r="C26" s="983" t="s">
        <v>185</v>
      </c>
      <c r="D26" s="409">
        <v>196.40048459666258</v>
      </c>
      <c r="E26" s="921">
        <v>39000</v>
      </c>
      <c r="F26" s="924">
        <v>11887.199981931457</v>
      </c>
      <c r="G26" s="1284">
        <f>M26*Conversions!A$67</f>
        <v>5.799725946399176</v>
      </c>
      <c r="H26" s="1268">
        <v>147.31247796048712</v>
      </c>
      <c r="I26" s="1284">
        <v>2.848558126456998</v>
      </c>
      <c r="J26" s="1278">
        <v>0.20028682036390968</v>
      </c>
      <c r="K26" s="1279">
        <f t="shared" si="1"/>
        <v>1964.0048459666257</v>
      </c>
      <c r="L26" s="1310">
        <v>1.9640048459666257</v>
      </c>
      <c r="M26" s="1288">
        <v>196.40048459666258</v>
      </c>
    </row>
    <row r="27" spans="2:13" ht="15" customHeight="1">
      <c r="B27" s="987">
        <v>45000</v>
      </c>
      <c r="C27" s="983" t="s">
        <v>187</v>
      </c>
      <c r="D27" s="409">
        <v>144.7794408243747</v>
      </c>
      <c r="E27" s="921">
        <v>45000</v>
      </c>
      <c r="F27" s="924">
        <v>13715.99997915168</v>
      </c>
      <c r="G27" s="1284">
        <f>M27*Conversions!A$67</f>
        <v>4.275351362694951</v>
      </c>
      <c r="H27" s="1268">
        <v>108.59351100569924</v>
      </c>
      <c r="I27" s="1284">
        <v>2.099855575973363</v>
      </c>
      <c r="J27" s="1278">
        <v>0.1476443091081435</v>
      </c>
      <c r="K27" s="1279">
        <f t="shared" si="1"/>
        <v>1447.7944082437468</v>
      </c>
      <c r="L27" s="1310">
        <v>1.4477944082437468</v>
      </c>
      <c r="M27" s="1288">
        <v>144.7794408243747</v>
      </c>
    </row>
    <row r="28" spans="2:13" ht="15" customHeight="1">
      <c r="B28" s="988">
        <v>63000</v>
      </c>
      <c r="C28" s="984" t="s">
        <v>188</v>
      </c>
      <c r="D28" s="414">
        <v>51.277613430305344</v>
      </c>
      <c r="E28" s="923">
        <v>63000</v>
      </c>
      <c r="F28" s="925">
        <v>19202.399970812352</v>
      </c>
      <c r="G28" s="1285">
        <f>M28*Conversions!A$67</f>
        <v>1.514233051369072</v>
      </c>
      <c r="H28" s="1212">
        <v>38.46137301458876</v>
      </c>
      <c r="I28" s="1285">
        <v>0.7437214971347321</v>
      </c>
      <c r="J28" s="1213">
        <v>0.05229228517891391</v>
      </c>
      <c r="K28" s="1214">
        <f t="shared" si="1"/>
        <v>512.7761343030535</v>
      </c>
      <c r="L28" s="1312">
        <v>0.5127761343030535</v>
      </c>
      <c r="M28" s="1289">
        <v>51.277613430305344</v>
      </c>
    </row>
  </sheetData>
  <sheetProtection sheet="1" objects="1" scenarios="1"/>
  <mergeCells count="10">
    <mergeCell ref="A1:K1"/>
    <mergeCell ref="C5:D5"/>
    <mergeCell ref="E5:F5"/>
    <mergeCell ref="G5:H5"/>
    <mergeCell ref="I5:M5"/>
    <mergeCell ref="B17:K17"/>
    <mergeCell ref="B18:C18"/>
    <mergeCell ref="E18:F18"/>
    <mergeCell ref="G18:H18"/>
    <mergeCell ref="I18:M18"/>
  </mergeCells>
  <printOptions/>
  <pageMargins left="0.7" right="0.7" top="0.75" bottom="0.75" header="0.5118055555555555" footer="0.511805555555555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X208"/>
  <sheetViews>
    <sheetView showGridLines="0" zoomScalePageLayoutView="0" workbookViewId="0" topLeftCell="A1">
      <selection activeCell="A7" sqref="A7"/>
    </sheetView>
  </sheetViews>
  <sheetFormatPr defaultColWidth="9.140625" defaultRowHeight="15" customHeight="1"/>
  <cols>
    <col min="1" max="1" width="8.7109375" style="3" customWidth="1"/>
    <col min="2" max="2" width="8.7109375" style="0" customWidth="1"/>
    <col min="3" max="3" width="6.7109375" style="1215" customWidth="1"/>
    <col min="4" max="4" width="6.7109375" style="0" customWidth="1"/>
    <col min="5" max="5" width="7.7109375" style="1217" customWidth="1"/>
    <col min="6" max="6" width="7.7109375" style="1187" customWidth="1"/>
    <col min="7" max="8" width="7.7109375" style="232" customWidth="1"/>
    <col min="9" max="9" width="7.7109375" style="1217" customWidth="1"/>
    <col min="10" max="10" width="1.7109375" style="232" customWidth="1"/>
    <col min="11" max="11" width="6.7109375" style="417" customWidth="1"/>
    <col min="12" max="17" width="6.7109375" style="232" customWidth="1"/>
  </cols>
  <sheetData>
    <row r="1" spans="1:19" ht="15" customHeight="1">
      <c r="A1" s="1045" t="s">
        <v>204</v>
      </c>
      <c r="B1" s="1045"/>
      <c r="C1" s="1045"/>
      <c r="D1" s="1045"/>
      <c r="E1" s="1045"/>
      <c r="F1" s="1045"/>
      <c r="G1" s="1045"/>
      <c r="H1" s="1045"/>
      <c r="I1" s="1045"/>
      <c r="J1" s="1045"/>
      <c r="K1" s="1045"/>
      <c r="L1" s="1045"/>
      <c r="M1" s="1045"/>
      <c r="N1" s="1045"/>
      <c r="O1" s="1045"/>
      <c r="P1" s="1045"/>
      <c r="Q1" s="1045"/>
      <c r="R1" s="1045"/>
      <c r="S1" s="1045"/>
    </row>
    <row r="2" spans="1:19" ht="15" customHeight="1">
      <c r="A2" s="3" t="s">
        <v>392</v>
      </c>
      <c r="B2" s="1"/>
      <c r="C2" s="1"/>
      <c r="D2" s="1"/>
      <c r="E2" s="1216"/>
      <c r="F2" s="1175"/>
      <c r="G2" s="1175"/>
      <c r="H2" s="1175"/>
      <c r="I2" s="1216"/>
      <c r="J2" s="1175"/>
      <c r="K2" s="1175"/>
      <c r="L2" s="1175"/>
      <c r="M2" s="1175"/>
      <c r="N2" s="1175"/>
      <c r="O2" s="1175"/>
      <c r="P2" s="1175"/>
      <c r="Q2" s="1175"/>
      <c r="R2" s="1"/>
      <c r="S2" s="1"/>
    </row>
    <row r="4" spans="1:17" ht="15" customHeight="1">
      <c r="A4" s="1142" t="s">
        <v>147</v>
      </c>
      <c r="B4" s="1142"/>
      <c r="C4" s="1143" t="s">
        <v>148</v>
      </c>
      <c r="D4" s="1143"/>
      <c r="E4" s="1144" t="s">
        <v>149</v>
      </c>
      <c r="F4" s="1144"/>
      <c r="G4" s="1144"/>
      <c r="H4" s="1144"/>
      <c r="I4" s="1144"/>
      <c r="J4" s="1179"/>
      <c r="K4" s="1145" t="s">
        <v>205</v>
      </c>
      <c r="L4" s="1145"/>
      <c r="M4" s="1145"/>
      <c r="N4" s="1145"/>
      <c r="O4" s="1145"/>
      <c r="P4" s="1145"/>
      <c r="Q4" s="1145"/>
    </row>
    <row r="5" spans="1:19" ht="15" customHeight="1">
      <c r="A5" s="1142"/>
      <c r="B5" s="1142"/>
      <c r="C5" s="1143"/>
      <c r="D5" s="1143"/>
      <c r="E5" s="1144"/>
      <c r="F5" s="1144"/>
      <c r="G5" s="1144"/>
      <c r="H5" s="1144"/>
      <c r="I5" s="1144"/>
      <c r="J5" s="1179"/>
      <c r="K5" s="1143" t="s">
        <v>148</v>
      </c>
      <c r="L5" s="1143"/>
      <c r="M5" s="1143" t="s">
        <v>149</v>
      </c>
      <c r="N5" s="1143"/>
      <c r="O5" s="1143"/>
      <c r="P5" s="1143"/>
      <c r="Q5" s="1143"/>
      <c r="S5" s="417" t="s">
        <v>206</v>
      </c>
    </row>
    <row r="6" spans="1:19" ht="15" customHeight="1">
      <c r="A6" s="825" t="s">
        <v>151</v>
      </c>
      <c r="B6" s="826" t="s">
        <v>152</v>
      </c>
      <c r="C6" s="1241" t="s">
        <v>153</v>
      </c>
      <c r="D6" s="1242" t="s">
        <v>154</v>
      </c>
      <c r="E6" s="1244" t="s">
        <v>155</v>
      </c>
      <c r="F6" s="1242" t="s">
        <v>242</v>
      </c>
      <c r="G6" s="1242" t="s">
        <v>127</v>
      </c>
      <c r="H6" s="1245" t="s">
        <v>157</v>
      </c>
      <c r="I6" s="1241" t="s">
        <v>55</v>
      </c>
      <c r="J6" s="473"/>
      <c r="K6" s="1243" t="s">
        <v>153</v>
      </c>
      <c r="L6" s="1242" t="s">
        <v>154</v>
      </c>
      <c r="M6" s="1244" t="s">
        <v>155</v>
      </c>
      <c r="N6" s="1245" t="s">
        <v>242</v>
      </c>
      <c r="O6" s="1245" t="s">
        <v>127</v>
      </c>
      <c r="P6" s="1245" t="s">
        <v>157</v>
      </c>
      <c r="Q6" s="1246" t="s">
        <v>55</v>
      </c>
      <c r="S6" s="418" t="s">
        <v>207</v>
      </c>
    </row>
    <row r="7" spans="1:24" ht="15" customHeight="1">
      <c r="A7" s="1171">
        <v>0</v>
      </c>
      <c r="B7" s="1218">
        <v>0</v>
      </c>
      <c r="C7" s="1239">
        <v>29.92126</v>
      </c>
      <c r="D7" s="1240">
        <v>760</v>
      </c>
      <c r="E7" s="1233">
        <v>14.696</v>
      </c>
      <c r="F7" s="1234">
        <v>1.0333</v>
      </c>
      <c r="G7" s="1235">
        <f>I7*100</f>
        <v>101325.00000000001</v>
      </c>
      <c r="H7" s="1313">
        <f>G7/1000</f>
        <v>101.32500000000002</v>
      </c>
      <c r="I7" s="1236">
        <v>1013.2500000000001</v>
      </c>
      <c r="J7" s="1180"/>
      <c r="K7" s="1231">
        <f aca="true" t="shared" si="0" ref="K7:K70">C7*$S$7</f>
        <v>6.267007907</v>
      </c>
      <c r="L7" s="1232">
        <f aca="true" t="shared" si="1" ref="L7:L70">D7*$S$7</f>
        <v>159.182</v>
      </c>
      <c r="M7" s="1233">
        <f aca="true" t="shared" si="2" ref="M7:M70">E7*$S$7</f>
        <v>3.0780772</v>
      </c>
      <c r="N7" s="1234">
        <f aca="true" t="shared" si="3" ref="N7:N70">F7*$S$7</f>
        <v>0.21642468500000003</v>
      </c>
      <c r="O7" s="1235">
        <f aca="true" t="shared" si="4" ref="O7:O70">G7*$S$7</f>
        <v>21222.52125</v>
      </c>
      <c r="P7" s="1313">
        <f aca="true" t="shared" si="5" ref="P7:P70">H7*$S$7</f>
        <v>21.222521250000003</v>
      </c>
      <c r="Q7" s="1236">
        <f aca="true" t="shared" si="6" ref="Q7:Q70">I7*$S$7</f>
        <v>212.22521250000003</v>
      </c>
      <c r="S7" s="419">
        <v>0.20945</v>
      </c>
      <c r="V7" s="420"/>
      <c r="W7" s="420"/>
      <c r="X7" s="420"/>
    </row>
    <row r="8" spans="1:20" ht="15" customHeight="1">
      <c r="A8" s="1170">
        <v>500</v>
      </c>
      <c r="B8" s="1219">
        <v>152.40004157473135</v>
      </c>
      <c r="C8" s="1223">
        <v>29.384564550660073</v>
      </c>
      <c r="D8" s="421">
        <v>746.3679356585136</v>
      </c>
      <c r="E8" s="1197">
        <v>14.43239892425989</v>
      </c>
      <c r="F8" s="1205">
        <v>1.0147657735736082</v>
      </c>
      <c r="G8" s="1206">
        <f aca="true" t="shared" si="7" ref="G8:G71">I8*100</f>
        <v>99507.54089552486</v>
      </c>
      <c r="H8" s="1314">
        <f aca="true" t="shared" si="8" ref="H8:H71">G8/1000</f>
        <v>99.50754089552485</v>
      </c>
      <c r="I8" s="1200">
        <v>995.0754089552486</v>
      </c>
      <c r="K8" s="1226">
        <f t="shared" si="0"/>
        <v>6.154597045135752</v>
      </c>
      <c r="L8" s="1182">
        <f t="shared" si="1"/>
        <v>156.32676412367567</v>
      </c>
      <c r="M8" s="1199">
        <f t="shared" si="2"/>
        <v>3.0228659546862335</v>
      </c>
      <c r="N8" s="1205">
        <f t="shared" si="3"/>
        <v>0.21254269127499223</v>
      </c>
      <c r="O8" s="1206">
        <f t="shared" si="4"/>
        <v>20841.85444056768</v>
      </c>
      <c r="P8" s="1314">
        <f t="shared" si="5"/>
        <v>20.84185444056768</v>
      </c>
      <c r="Q8" s="1201">
        <f t="shared" si="6"/>
        <v>208.4185444056768</v>
      </c>
      <c r="T8" s="423"/>
    </row>
    <row r="9" spans="1:20" ht="15" customHeight="1">
      <c r="A9" s="1169">
        <v>1000</v>
      </c>
      <c r="B9" s="1220">
        <v>304.8000831494627</v>
      </c>
      <c r="C9" s="1224">
        <v>28.855690908981558</v>
      </c>
      <c r="D9" s="421">
        <v>732.9345452305814</v>
      </c>
      <c r="E9" s="1197">
        <v>14.172639574616609</v>
      </c>
      <c r="F9" s="1205">
        <v>0.9965016652457366</v>
      </c>
      <c r="G9" s="1206">
        <f t="shared" si="7"/>
        <v>97716.56946774822</v>
      </c>
      <c r="H9" s="1314">
        <f t="shared" si="8"/>
        <v>97.71656946774823</v>
      </c>
      <c r="I9" s="1201">
        <v>977.1656946774823</v>
      </c>
      <c r="K9" s="1224">
        <f t="shared" si="0"/>
        <v>6.043824460886187</v>
      </c>
      <c r="L9" s="1182">
        <f t="shared" si="1"/>
        <v>153.51314049854528</v>
      </c>
      <c r="M9" s="1199">
        <f t="shared" si="2"/>
        <v>2.9684593589034485</v>
      </c>
      <c r="N9" s="1205">
        <f t="shared" si="3"/>
        <v>0.20871727378571953</v>
      </c>
      <c r="O9" s="1206">
        <f t="shared" si="4"/>
        <v>20466.735475019865</v>
      </c>
      <c r="P9" s="1314">
        <f t="shared" si="5"/>
        <v>20.466735475019867</v>
      </c>
      <c r="Q9" s="1201">
        <f t="shared" si="6"/>
        <v>204.66735475019865</v>
      </c>
      <c r="T9" s="424"/>
    </row>
    <row r="10" spans="1:23" ht="15" customHeight="1">
      <c r="A10" s="1169">
        <v>1500</v>
      </c>
      <c r="B10" s="1220">
        <v>457.2001247241941</v>
      </c>
      <c r="C10" s="1224">
        <v>28.334551564961977</v>
      </c>
      <c r="D10" s="421">
        <v>719.6976059621521</v>
      </c>
      <c r="E10" s="1197">
        <v>13.916678970026036</v>
      </c>
      <c r="F10" s="1205">
        <v>0.9785046529482787</v>
      </c>
      <c r="G10" s="1206">
        <f t="shared" si="7"/>
        <v>95951.7893738356</v>
      </c>
      <c r="H10" s="1314">
        <f t="shared" si="8"/>
        <v>95.95178937383561</v>
      </c>
      <c r="I10" s="1201">
        <v>959.5178937383561</v>
      </c>
      <c r="K10" s="1224">
        <f t="shared" si="0"/>
        <v>5.934671825281286</v>
      </c>
      <c r="L10" s="1182">
        <f t="shared" si="1"/>
        <v>150.74066356877276</v>
      </c>
      <c r="M10" s="1199">
        <f t="shared" si="2"/>
        <v>2.914848410271953</v>
      </c>
      <c r="N10" s="1205">
        <f t="shared" si="3"/>
        <v>0.20494779956001696</v>
      </c>
      <c r="O10" s="1206">
        <f t="shared" si="4"/>
        <v>20097.10228434987</v>
      </c>
      <c r="P10" s="1314">
        <f t="shared" si="5"/>
        <v>20.09710228434987</v>
      </c>
      <c r="Q10" s="1201">
        <f t="shared" si="6"/>
        <v>200.97102284349867</v>
      </c>
      <c r="T10" s="425"/>
      <c r="W10" s="426"/>
    </row>
    <row r="11" spans="1:20" ht="15" customHeight="1">
      <c r="A11" s="1176">
        <v>2000</v>
      </c>
      <c r="B11" s="1221">
        <v>609.6001662989254</v>
      </c>
      <c r="C11" s="1224">
        <v>27.821059689294888</v>
      </c>
      <c r="D11" s="421">
        <v>706.6549123888539</v>
      </c>
      <c r="E11" s="1197">
        <v>13.664474463771835</v>
      </c>
      <c r="F11" s="1205">
        <v>0.9607717381202667</v>
      </c>
      <c r="G11" s="1206">
        <f t="shared" si="7"/>
        <v>94212.90657605343</v>
      </c>
      <c r="H11" s="1314">
        <f t="shared" si="8"/>
        <v>94.21290657605343</v>
      </c>
      <c r="I11" s="1201">
        <v>942.1290657605343</v>
      </c>
      <c r="K11" s="1224">
        <f t="shared" si="0"/>
        <v>5.827120951922814</v>
      </c>
      <c r="L11" s="1182">
        <f t="shared" si="1"/>
        <v>148.00887139984545</v>
      </c>
      <c r="M11" s="1199">
        <f t="shared" si="2"/>
        <v>2.8620241764370107</v>
      </c>
      <c r="N11" s="1205">
        <f t="shared" si="3"/>
        <v>0.20123364054928986</v>
      </c>
      <c r="O11" s="1206">
        <f t="shared" si="4"/>
        <v>19732.89328235439</v>
      </c>
      <c r="P11" s="1314">
        <f t="shared" si="5"/>
        <v>19.73289328235439</v>
      </c>
      <c r="Q11" s="1201">
        <f t="shared" si="6"/>
        <v>197.3289328235439</v>
      </c>
      <c r="T11" s="425"/>
    </row>
    <row r="12" spans="1:17" ht="15" customHeight="1">
      <c r="A12" s="1194">
        <v>2500</v>
      </c>
      <c r="B12" s="1222">
        <v>762.0002078736568</v>
      </c>
      <c r="C12" s="1225">
        <v>27.315129130412103</v>
      </c>
      <c r="D12" s="427">
        <v>693.804276260866</v>
      </c>
      <c r="E12" s="1198">
        <v>13.415983742012745</v>
      </c>
      <c r="F12" s="1207">
        <v>0.9432999456057275</v>
      </c>
      <c r="G12" s="1208">
        <f t="shared" si="7"/>
        <v>92499.62933175295</v>
      </c>
      <c r="H12" s="1315">
        <f t="shared" si="8"/>
        <v>92.49962933175294</v>
      </c>
      <c r="I12" s="1202">
        <v>924.9962933175295</v>
      </c>
      <c r="K12" s="1225">
        <f t="shared" si="0"/>
        <v>5.721153796364815</v>
      </c>
      <c r="L12" s="1184">
        <f t="shared" si="1"/>
        <v>145.31730566283838</v>
      </c>
      <c r="M12" s="1198">
        <f t="shared" si="2"/>
        <v>2.8099777947645697</v>
      </c>
      <c r="N12" s="1207">
        <f t="shared" si="3"/>
        <v>0.19757417360711962</v>
      </c>
      <c r="O12" s="1208">
        <f t="shared" si="4"/>
        <v>19374.047363535654</v>
      </c>
      <c r="P12" s="1315">
        <f t="shared" si="5"/>
        <v>19.374047363535652</v>
      </c>
      <c r="Q12" s="1202">
        <f t="shared" si="6"/>
        <v>193.74047363535655</v>
      </c>
    </row>
    <row r="13" spans="1:19" ht="15" customHeight="1">
      <c r="A13" s="1178">
        <v>3000</v>
      </c>
      <c r="B13" s="1219">
        <v>914.4002494483882</v>
      </c>
      <c r="C13" s="1223">
        <v>26.816674411528286</v>
      </c>
      <c r="D13" s="421">
        <v>681.1435264678526</v>
      </c>
      <c r="E13" s="1197">
        <v>13.171164822331</v>
      </c>
      <c r="F13" s="1205">
        <v>0.9260863235516212</v>
      </c>
      <c r="G13" s="1206">
        <f t="shared" si="7"/>
        <v>90811.66818336205</v>
      </c>
      <c r="H13" s="1314">
        <f t="shared" si="8"/>
        <v>90.81166818336206</v>
      </c>
      <c r="I13" s="1200">
        <v>908.1166818336205</v>
      </c>
      <c r="K13" s="1226">
        <f t="shared" si="0"/>
        <v>5.616752455494599</v>
      </c>
      <c r="L13" s="1182">
        <f t="shared" si="1"/>
        <v>142.6655116186917</v>
      </c>
      <c r="M13" s="1199">
        <f t="shared" si="2"/>
        <v>2.758700472037228</v>
      </c>
      <c r="N13" s="1205">
        <f t="shared" si="3"/>
        <v>0.19396878046788707</v>
      </c>
      <c r="O13" s="1206">
        <f t="shared" si="4"/>
        <v>19020.50390100518</v>
      </c>
      <c r="P13" s="1314">
        <f t="shared" si="5"/>
        <v>19.02050390100518</v>
      </c>
      <c r="Q13" s="1201">
        <f t="shared" si="6"/>
        <v>190.20503901005182</v>
      </c>
      <c r="S13" s="429"/>
    </row>
    <row r="14" spans="1:20" ht="15" customHeight="1">
      <c r="A14" s="1176">
        <v>3500</v>
      </c>
      <c r="B14" s="1220">
        <v>1066.8002910231196</v>
      </c>
      <c r="C14" s="1224">
        <v>26.325610727688417</v>
      </c>
      <c r="D14" s="421">
        <v>668.6705089639673</v>
      </c>
      <c r="E14" s="1197">
        <v>12.92997605228219</v>
      </c>
      <c r="F14" s="1205">
        <v>0.9091279433058783</v>
      </c>
      <c r="G14" s="1206">
        <f t="shared" si="7"/>
        <v>89148.73594838683</v>
      </c>
      <c r="H14" s="1314">
        <f t="shared" si="8"/>
        <v>89.14873594838683</v>
      </c>
      <c r="I14" s="1201">
        <v>891.4873594838683</v>
      </c>
      <c r="K14" s="1224">
        <f t="shared" si="0"/>
        <v>5.513899166914339</v>
      </c>
      <c r="L14" s="1182">
        <f t="shared" si="1"/>
        <v>140.05303810250297</v>
      </c>
      <c r="M14" s="1199">
        <f t="shared" si="2"/>
        <v>2.7081834841505046</v>
      </c>
      <c r="N14" s="1205">
        <f t="shared" si="3"/>
        <v>0.1904168477254162</v>
      </c>
      <c r="O14" s="1206">
        <f t="shared" si="4"/>
        <v>18672.202744389622</v>
      </c>
      <c r="P14" s="1314">
        <f t="shared" si="5"/>
        <v>18.672202744389622</v>
      </c>
      <c r="Q14" s="1201">
        <f t="shared" si="6"/>
        <v>186.72202744389622</v>
      </c>
      <c r="T14" s="430"/>
    </row>
    <row r="15" spans="1:21" ht="15" customHeight="1">
      <c r="A15" s="1176">
        <v>4000</v>
      </c>
      <c r="B15" s="1220">
        <v>1219.2003325978508</v>
      </c>
      <c r="C15" s="1224">
        <v>25.84185394281768</v>
      </c>
      <c r="D15" s="421">
        <v>656.3830866929212</v>
      </c>
      <c r="E15" s="1197">
        <v>12.692376107946277</v>
      </c>
      <c r="F15" s="1205">
        <v>0.8924218993155205</v>
      </c>
      <c r="G15" s="1206">
        <f t="shared" si="7"/>
        <v>87510.54770942137</v>
      </c>
      <c r="H15" s="1314">
        <f t="shared" si="8"/>
        <v>87.51054770942137</v>
      </c>
      <c r="I15" s="1201">
        <v>875.1054770942137</v>
      </c>
      <c r="K15" s="1224">
        <f t="shared" si="0"/>
        <v>5.412576308323163</v>
      </c>
      <c r="L15" s="1182">
        <f t="shared" si="1"/>
        <v>137.47943750783236</v>
      </c>
      <c r="M15" s="1199">
        <f t="shared" si="2"/>
        <v>2.6584181758093477</v>
      </c>
      <c r="N15" s="1205">
        <f t="shared" si="3"/>
        <v>0.18691776681163577</v>
      </c>
      <c r="O15" s="1206">
        <f t="shared" si="4"/>
        <v>18329.084217738306</v>
      </c>
      <c r="P15" s="1314">
        <f t="shared" si="5"/>
        <v>18.329084217738306</v>
      </c>
      <c r="Q15" s="1201">
        <f t="shared" si="6"/>
        <v>183.29084217738307</v>
      </c>
      <c r="T15" s="430"/>
      <c r="U15" s="431"/>
    </row>
    <row r="16" spans="1:22" ht="15" customHeight="1">
      <c r="A16" s="1176">
        <v>4500</v>
      </c>
      <c r="B16" s="1221">
        <v>1371.6003741725822</v>
      </c>
      <c r="C16" s="1224">
        <v>25.365320586774256</v>
      </c>
      <c r="D16" s="421">
        <v>644.2791395131234</v>
      </c>
      <c r="E16" s="1197">
        <v>12.458323992480079</v>
      </c>
      <c r="F16" s="1205">
        <v>0.8759653090248821</v>
      </c>
      <c r="G16" s="1206">
        <f t="shared" si="7"/>
        <v>85896.8208041674</v>
      </c>
      <c r="H16" s="1314">
        <f t="shared" si="8"/>
        <v>85.89682080416739</v>
      </c>
      <c r="I16" s="1201">
        <v>858.968208041674</v>
      </c>
      <c r="K16" s="1224">
        <f t="shared" si="0"/>
        <v>5.3127663968998675</v>
      </c>
      <c r="L16" s="1182">
        <f t="shared" si="1"/>
        <v>134.94426577102368</v>
      </c>
      <c r="M16" s="1199">
        <f t="shared" si="2"/>
        <v>2.6093959602249526</v>
      </c>
      <c r="N16" s="1205">
        <f t="shared" si="3"/>
        <v>0.18347093397526157</v>
      </c>
      <c r="O16" s="1206">
        <f t="shared" si="4"/>
        <v>17991.08911743286</v>
      </c>
      <c r="P16" s="1314">
        <f t="shared" si="5"/>
        <v>17.99108911743286</v>
      </c>
      <c r="Q16" s="1201">
        <f t="shared" si="6"/>
        <v>179.9108911743286</v>
      </c>
      <c r="T16" s="430"/>
      <c r="V16" s="432"/>
    </row>
    <row r="17" spans="1:20" ht="15" customHeight="1">
      <c r="A17" s="1194">
        <v>5000</v>
      </c>
      <c r="B17" s="1222">
        <v>1524.0004157473136</v>
      </c>
      <c r="C17" s="1225">
        <v>24.895927852404544</v>
      </c>
      <c r="D17" s="427">
        <v>632.356564122883</v>
      </c>
      <c r="E17" s="1198">
        <v>12.227779034670904</v>
      </c>
      <c r="F17" s="1207">
        <v>0.8597553127739146</v>
      </c>
      <c r="G17" s="1208">
        <f t="shared" si="7"/>
        <v>84307.274815462</v>
      </c>
      <c r="H17" s="1208">
        <f t="shared" si="8"/>
        <v>84.30727481546201</v>
      </c>
      <c r="I17" s="1202">
        <v>843.0727481546201</v>
      </c>
      <c r="K17" s="1225">
        <f t="shared" si="0"/>
        <v>5.214452088686132</v>
      </c>
      <c r="L17" s="1184">
        <f t="shared" si="1"/>
        <v>132.44708235553784</v>
      </c>
      <c r="M17" s="1198">
        <f t="shared" si="2"/>
        <v>2.561108318811821</v>
      </c>
      <c r="N17" s="1207">
        <f t="shared" si="3"/>
        <v>0.1800757502604964</v>
      </c>
      <c r="O17" s="1208">
        <f t="shared" si="4"/>
        <v>17658.158710098516</v>
      </c>
      <c r="P17" s="1208">
        <f t="shared" si="5"/>
        <v>17.65815871009852</v>
      </c>
      <c r="Q17" s="1202">
        <f t="shared" si="6"/>
        <v>176.58158710098516</v>
      </c>
      <c r="S17" s="6"/>
      <c r="T17" s="430"/>
    </row>
    <row r="18" spans="1:20" ht="15" customHeight="1">
      <c r="A18" s="1178">
        <v>5500</v>
      </c>
      <c r="B18" s="1219">
        <v>1676.400457322045</v>
      </c>
      <c r="C18" s="1223">
        <v>24.433593592601166</v>
      </c>
      <c r="D18" s="421">
        <v>620.613273985684</v>
      </c>
      <c r="E18" s="1197">
        <v>12.000700887491595</v>
      </c>
      <c r="F18" s="1205">
        <v>0.8437890736965886</v>
      </c>
      <c r="G18" s="1206">
        <f t="shared" si="7"/>
        <v>82741.63156131505</v>
      </c>
      <c r="H18" s="1206">
        <f t="shared" si="8"/>
        <v>82.74163156131505</v>
      </c>
      <c r="I18" s="1200">
        <v>827.4163156131505</v>
      </c>
      <c r="K18" s="1226">
        <f t="shared" si="0"/>
        <v>5.117616177970314</v>
      </c>
      <c r="L18" s="1182">
        <f t="shared" si="1"/>
        <v>129.98745023630153</v>
      </c>
      <c r="M18" s="1199">
        <f t="shared" si="2"/>
        <v>2.5135468008851145</v>
      </c>
      <c r="N18" s="1205">
        <f t="shared" si="3"/>
        <v>0.17673162148575047</v>
      </c>
      <c r="O18" s="1206">
        <f t="shared" si="4"/>
        <v>17330.234730517437</v>
      </c>
      <c r="P18" s="1206">
        <f t="shared" si="5"/>
        <v>17.330234730517436</v>
      </c>
      <c r="Q18" s="1201">
        <f t="shared" si="6"/>
        <v>173.30234730517435</v>
      </c>
      <c r="T18" s="430"/>
    </row>
    <row r="19" spans="1:20" ht="15" customHeight="1">
      <c r="A19" s="1176">
        <v>6000</v>
      </c>
      <c r="B19" s="1220">
        <v>1828.8004988967764</v>
      </c>
      <c r="C19" s="1224">
        <v>23.978236317363535</v>
      </c>
      <c r="D19" s="421">
        <v>609.0471992555223</v>
      </c>
      <c r="E19" s="1197">
        <v>11.777049526656782</v>
      </c>
      <c r="F19" s="1205">
        <v>0.8280637776193832</v>
      </c>
      <c r="G19" s="1206">
        <f t="shared" si="7"/>
        <v>81199.615084955</v>
      </c>
      <c r="H19" s="1206">
        <f t="shared" si="8"/>
        <v>81.199615084955</v>
      </c>
      <c r="I19" s="1201">
        <v>811.99615084955</v>
      </c>
      <c r="K19" s="1224">
        <f t="shared" si="0"/>
        <v>5.022241596671792</v>
      </c>
      <c r="L19" s="1182">
        <f t="shared" si="1"/>
        <v>127.56493588406914</v>
      </c>
      <c r="M19" s="1199">
        <f t="shared" si="2"/>
        <v>2.466703023358263</v>
      </c>
      <c r="N19" s="1205">
        <f t="shared" si="3"/>
        <v>0.1734379582223798</v>
      </c>
      <c r="O19" s="1206">
        <f t="shared" si="4"/>
        <v>17007.259379543826</v>
      </c>
      <c r="P19" s="1206">
        <f t="shared" si="5"/>
        <v>17.007259379543825</v>
      </c>
      <c r="Q19" s="1201">
        <f t="shared" si="6"/>
        <v>170.07259379543825</v>
      </c>
      <c r="T19" s="430"/>
    </row>
    <row r="20" spans="1:20" ht="15" customHeight="1">
      <c r="A20" s="1176">
        <v>6500</v>
      </c>
      <c r="B20" s="1220">
        <v>1981.2005404715076</v>
      </c>
      <c r="C20" s="1224">
        <v>23.52977519086138</v>
      </c>
      <c r="D20" s="421">
        <v>597.6562867023197</v>
      </c>
      <c r="E20" s="1197">
        <v>11.556785249180644</v>
      </c>
      <c r="F20" s="1205">
        <v>0.8125766329598776</v>
      </c>
      <c r="G20" s="1206">
        <f t="shared" si="7"/>
        <v>79680.95164488492</v>
      </c>
      <c r="H20" s="1206">
        <f t="shared" si="8"/>
        <v>79.68095164488491</v>
      </c>
      <c r="I20" s="1201">
        <v>796.8095164488492</v>
      </c>
      <c r="K20" s="1224">
        <f t="shared" si="0"/>
        <v>4.928311413725916</v>
      </c>
      <c r="L20" s="1182">
        <f t="shared" si="1"/>
        <v>125.17910924980086</v>
      </c>
      <c r="M20" s="1199">
        <f t="shared" si="2"/>
        <v>2.4205686704408858</v>
      </c>
      <c r="N20" s="1205">
        <f t="shared" si="3"/>
        <v>0.17019417577344637</v>
      </c>
      <c r="O20" s="1206">
        <f t="shared" si="4"/>
        <v>16689.175322021147</v>
      </c>
      <c r="P20" s="1206">
        <f t="shared" si="5"/>
        <v>16.689175322021146</v>
      </c>
      <c r="Q20" s="1201">
        <f t="shared" si="6"/>
        <v>166.89175322021146</v>
      </c>
      <c r="T20" s="430"/>
    </row>
    <row r="21" spans="1:20" ht="15" customHeight="1">
      <c r="A21" s="1176">
        <v>7000</v>
      </c>
      <c r="B21" s="1221">
        <v>2133.600582046239</v>
      </c>
      <c r="C21" s="1224">
        <v>23.088130028500455</v>
      </c>
      <c r="D21" s="421">
        <v>586.4384996373932</v>
      </c>
      <c r="E21" s="1197">
        <v>11.339868671935697</v>
      </c>
      <c r="F21" s="1205">
        <v>0.797324870625419</v>
      </c>
      <c r="G21" s="1206">
        <f t="shared" si="7"/>
        <v>78185.36970494587</v>
      </c>
      <c r="H21" s="1206">
        <f t="shared" si="8"/>
        <v>78.18536970494587</v>
      </c>
      <c r="I21" s="1201">
        <v>781.8536970494587</v>
      </c>
      <c r="K21" s="1224">
        <f t="shared" si="0"/>
        <v>4.83580883446942</v>
      </c>
      <c r="L21" s="1182">
        <f t="shared" si="1"/>
        <v>122.82954374905201</v>
      </c>
      <c r="M21" s="1199">
        <f t="shared" si="2"/>
        <v>2.375135493336932</v>
      </c>
      <c r="N21" s="1205">
        <f t="shared" si="3"/>
        <v>0.16699969415249402</v>
      </c>
      <c r="O21" s="1206">
        <f t="shared" si="4"/>
        <v>16375.925684700913</v>
      </c>
      <c r="P21" s="1206">
        <f t="shared" si="5"/>
        <v>16.375925684700913</v>
      </c>
      <c r="Q21" s="1201">
        <f t="shared" si="6"/>
        <v>163.7592568470091</v>
      </c>
      <c r="T21" s="430"/>
    </row>
    <row r="22" spans="1:20" ht="15" customHeight="1">
      <c r="A22" s="1194">
        <v>7500</v>
      </c>
      <c r="B22" s="1222">
        <v>2286.0006236209706</v>
      </c>
      <c r="C22" s="1225">
        <v>22.65322129399151</v>
      </c>
      <c r="D22" s="427">
        <v>575.3918178390064</v>
      </c>
      <c r="E22" s="1198">
        <v>11.126260730213207</v>
      </c>
      <c r="F22" s="1207">
        <v>0.7823057439119018</v>
      </c>
      <c r="G22" s="1208">
        <f t="shared" si="7"/>
        <v>76712.59992439121</v>
      </c>
      <c r="H22" s="1208">
        <f t="shared" si="8"/>
        <v>76.71259992439121</v>
      </c>
      <c r="I22" s="1202">
        <v>767.1259992439121</v>
      </c>
      <c r="K22" s="1225">
        <f t="shared" si="0"/>
        <v>4.744717200026522</v>
      </c>
      <c r="L22" s="1184">
        <f t="shared" si="1"/>
        <v>120.5158162463799</v>
      </c>
      <c r="M22" s="1198">
        <f t="shared" si="2"/>
        <v>2.3303953099431562</v>
      </c>
      <c r="N22" s="1207">
        <f t="shared" si="3"/>
        <v>0.16385393806234783</v>
      </c>
      <c r="O22" s="1208">
        <f t="shared" si="4"/>
        <v>16067.454054163738</v>
      </c>
      <c r="P22" s="1208">
        <f t="shared" si="5"/>
        <v>16.06745405416374</v>
      </c>
      <c r="Q22" s="1202">
        <f t="shared" si="6"/>
        <v>160.67454054163738</v>
      </c>
      <c r="T22" s="430"/>
    </row>
    <row r="23" spans="1:20" ht="15" customHeight="1">
      <c r="A23" s="1178">
        <v>8000</v>
      </c>
      <c r="B23" s="1219">
        <v>2438.4006651957015</v>
      </c>
      <c r="C23" s="1223">
        <v>22.224970096421423</v>
      </c>
      <c r="D23" s="421">
        <v>564.5142374779766</v>
      </c>
      <c r="E23" s="1197">
        <v>10.915922676284662</v>
      </c>
      <c r="F23" s="1205">
        <v>0.7675165284026227</v>
      </c>
      <c r="G23" s="1206">
        <f t="shared" si="7"/>
        <v>75262.3751479684</v>
      </c>
      <c r="H23" s="1206">
        <f t="shared" si="8"/>
        <v>75.2623751479684</v>
      </c>
      <c r="I23" s="1200">
        <v>752.623751479684</v>
      </c>
      <c r="K23" s="1226">
        <f t="shared" si="0"/>
        <v>4.655019986695467</v>
      </c>
      <c r="L23" s="1182">
        <f t="shared" si="1"/>
        <v>118.2375070397622</v>
      </c>
      <c r="M23" s="1199">
        <f t="shared" si="2"/>
        <v>2.2863400045478226</v>
      </c>
      <c r="N23" s="1205">
        <f t="shared" si="3"/>
        <v>0.16075633687392935</v>
      </c>
      <c r="O23" s="1206">
        <f t="shared" si="4"/>
        <v>15763.70447474198</v>
      </c>
      <c r="P23" s="1206">
        <f t="shared" si="5"/>
        <v>15.763704474741981</v>
      </c>
      <c r="Q23" s="1201">
        <f t="shared" si="6"/>
        <v>157.6370447474198</v>
      </c>
      <c r="T23" s="430"/>
    </row>
    <row r="24" spans="1:20" ht="15" customHeight="1">
      <c r="A24" s="1176">
        <v>8500</v>
      </c>
      <c r="B24" s="1220">
        <v>2590.800706770433</v>
      </c>
      <c r="C24" s="1224">
        <v>21.803298187327535</v>
      </c>
      <c r="D24" s="421">
        <v>553.8037710433628</v>
      </c>
      <c r="E24" s="1197">
        <v>10.708816077964814</v>
      </c>
      <c r="F24" s="1205">
        <v>0.7529545218672458</v>
      </c>
      <c r="G24" s="1206">
        <f t="shared" si="7"/>
        <v>73834.43039601149</v>
      </c>
      <c r="H24" s="1206">
        <f t="shared" si="8"/>
        <v>73.8344303960115</v>
      </c>
      <c r="I24" s="1201">
        <v>738.3443039601149</v>
      </c>
      <c r="K24" s="1224">
        <f t="shared" si="0"/>
        <v>4.566700805335752</v>
      </c>
      <c r="L24" s="1182">
        <f t="shared" si="1"/>
        <v>115.99419984503233</v>
      </c>
      <c r="M24" s="1199">
        <f t="shared" si="2"/>
        <v>2.2429615275297303</v>
      </c>
      <c r="N24" s="1205">
        <f t="shared" si="3"/>
        <v>0.15770632460509462</v>
      </c>
      <c r="O24" s="1206">
        <f t="shared" si="4"/>
        <v>15464.621446444607</v>
      </c>
      <c r="P24" s="1206">
        <f t="shared" si="5"/>
        <v>15.464621446444609</v>
      </c>
      <c r="Q24" s="1201">
        <f t="shared" si="6"/>
        <v>154.64621446444605</v>
      </c>
      <c r="T24" s="430"/>
    </row>
    <row r="25" spans="1:20" ht="15" customHeight="1">
      <c r="A25" s="1176">
        <v>9000</v>
      </c>
      <c r="B25" s="1220">
        <v>2743.2007483451644</v>
      </c>
      <c r="C25" s="1224">
        <v>21.388127957774287</v>
      </c>
      <c r="D25" s="421">
        <v>543.258447268212</v>
      </c>
      <c r="E25" s="1197">
        <v>10.504902817175845</v>
      </c>
      <c r="F25" s="1205">
        <v>0.7386170441608466</v>
      </c>
      <c r="G25" s="1206">
        <f t="shared" si="7"/>
        <v>72428.50285454154</v>
      </c>
      <c r="H25" s="1206">
        <f t="shared" si="8"/>
        <v>72.42850285454153</v>
      </c>
      <c r="I25" s="1201">
        <v>724.2850285454155</v>
      </c>
      <c r="K25" s="1224">
        <f t="shared" si="0"/>
        <v>4.479743400755824</v>
      </c>
      <c r="L25" s="1182">
        <f t="shared" si="1"/>
        <v>113.78548178032699</v>
      </c>
      <c r="M25" s="1199">
        <f t="shared" si="2"/>
        <v>2.2002518950574808</v>
      </c>
      <c r="N25" s="1205">
        <f t="shared" si="3"/>
        <v>0.1547033398994893</v>
      </c>
      <c r="O25" s="1206">
        <f t="shared" si="4"/>
        <v>15170.149922883726</v>
      </c>
      <c r="P25" s="1206">
        <f t="shared" si="5"/>
        <v>15.170149922883724</v>
      </c>
      <c r="Q25" s="1201">
        <f t="shared" si="6"/>
        <v>151.70149922883726</v>
      </c>
      <c r="T25" s="430"/>
    </row>
    <row r="26" spans="1:20" ht="15" customHeight="1">
      <c r="A26" s="1176">
        <v>9500</v>
      </c>
      <c r="B26" s="1221">
        <v>2895.6007899198958</v>
      </c>
      <c r="C26" s="1224">
        <v>20.97938243543288</v>
      </c>
      <c r="D26" s="421">
        <v>532.876311055383</v>
      </c>
      <c r="E26" s="1197">
        <v>10.304145088513037</v>
      </c>
      <c r="F26" s="1205">
        <v>0.7245014371230623</v>
      </c>
      <c r="G26" s="1206">
        <f t="shared" si="7"/>
        <v>71044.33186537721</v>
      </c>
      <c r="H26" s="1206">
        <f t="shared" si="8"/>
        <v>71.04433186537722</v>
      </c>
      <c r="I26" s="1201">
        <v>710.4433186537722</v>
      </c>
      <c r="K26" s="1224">
        <f t="shared" si="0"/>
        <v>4.394131651101416</v>
      </c>
      <c r="L26" s="1182">
        <f t="shared" si="1"/>
        <v>111.61094335054996</v>
      </c>
      <c r="M26" s="1199">
        <f t="shared" si="2"/>
        <v>2.1582031887890554</v>
      </c>
      <c r="N26" s="1205">
        <f t="shared" si="3"/>
        <v>0.15174682600542538</v>
      </c>
      <c r="O26" s="1206">
        <f t="shared" si="4"/>
        <v>14880.235309203257</v>
      </c>
      <c r="P26" s="1206">
        <f t="shared" si="5"/>
        <v>14.880235309203258</v>
      </c>
      <c r="Q26" s="1201">
        <f t="shared" si="6"/>
        <v>148.80235309203258</v>
      </c>
      <c r="T26" s="430"/>
    </row>
    <row r="27" spans="1:20" ht="15" customHeight="1">
      <c r="A27" s="1177">
        <v>10000</v>
      </c>
      <c r="B27" s="1222">
        <v>3048.000831494627</v>
      </c>
      <c r="C27" s="1225">
        <v>20.576985281663344</v>
      </c>
      <c r="D27" s="427">
        <v>522.655423403431</v>
      </c>
      <c r="E27" s="1198">
        <v>10.106505397811606</v>
      </c>
      <c r="F27" s="1207">
        <v>0.7106050644773227</v>
      </c>
      <c r="G27" s="1208">
        <f t="shared" si="7"/>
        <v>69681.65891625348</v>
      </c>
      <c r="H27" s="1208">
        <f t="shared" si="8"/>
        <v>69.68165891625348</v>
      </c>
      <c r="I27" s="1202">
        <v>696.8165891625348</v>
      </c>
      <c r="K27" s="1225">
        <f t="shared" si="0"/>
        <v>4.309849567244387</v>
      </c>
      <c r="L27" s="1184">
        <f t="shared" si="1"/>
        <v>109.47017843184861</v>
      </c>
      <c r="M27" s="1198">
        <f t="shared" si="2"/>
        <v>2.116807555571641</v>
      </c>
      <c r="N27" s="1207">
        <f t="shared" si="3"/>
        <v>0.14883623075477526</v>
      </c>
      <c r="O27" s="1208">
        <f t="shared" si="4"/>
        <v>14594.823460009291</v>
      </c>
      <c r="P27" s="1208">
        <f t="shared" si="5"/>
        <v>14.594823460009291</v>
      </c>
      <c r="Q27" s="1202">
        <f t="shared" si="6"/>
        <v>145.94823460009292</v>
      </c>
      <c r="T27" s="430"/>
    </row>
    <row r="28" spans="1:20" ht="15" customHeight="1">
      <c r="A28" s="1176">
        <v>10500</v>
      </c>
      <c r="B28" s="1219">
        <v>3200.4008730693586</v>
      </c>
      <c r="C28" s="1223">
        <v>20.1808607885998</v>
      </c>
      <c r="D28" s="421">
        <v>512.5938613325726</v>
      </c>
      <c r="E28" s="1197">
        <v>9.911946560715112</v>
      </c>
      <c r="F28" s="1205">
        <v>0.6969253117301938</v>
      </c>
      <c r="G28" s="1206">
        <f t="shared" si="7"/>
        <v>68340.2276309512</v>
      </c>
      <c r="H28" s="1206">
        <f t="shared" si="8"/>
        <v>68.34022763095119</v>
      </c>
      <c r="I28" s="1200">
        <v>683.402276309512</v>
      </c>
      <c r="K28" s="1226">
        <f t="shared" si="0"/>
        <v>4.226881292172228</v>
      </c>
      <c r="L28" s="1182">
        <f t="shared" si="1"/>
        <v>107.36278425610733</v>
      </c>
      <c r="M28" s="1199">
        <f t="shared" si="2"/>
        <v>2.07605720714178</v>
      </c>
      <c r="N28" s="1205">
        <f t="shared" si="3"/>
        <v>0.14597100654188908</v>
      </c>
      <c r="O28" s="1206">
        <f t="shared" si="4"/>
        <v>14313.860677302728</v>
      </c>
      <c r="P28" s="1206">
        <f t="shared" si="5"/>
        <v>14.313860677302726</v>
      </c>
      <c r="Q28" s="1201">
        <f t="shared" si="6"/>
        <v>143.13860677302728</v>
      </c>
      <c r="T28" s="430"/>
    </row>
    <row r="29" spans="1:20" ht="15" customHeight="1">
      <c r="A29" s="1176">
        <v>11000</v>
      </c>
      <c r="B29" s="1220">
        <v>3352.80091464409</v>
      </c>
      <c r="C29" s="1224">
        <v>19.790933876237872</v>
      </c>
      <c r="D29" s="421">
        <v>502.6897178107066</v>
      </c>
      <c r="E29" s="1197">
        <v>9.720431701244927</v>
      </c>
      <c r="F29" s="1205">
        <v>0.6834595860707937</v>
      </c>
      <c r="G29" s="1206">
        <f t="shared" si="7"/>
        <v>67019.78375943402</v>
      </c>
      <c r="H29" s="1206">
        <f t="shared" si="8"/>
        <v>67.01978375943402</v>
      </c>
      <c r="I29" s="1201">
        <v>670.1978375943402</v>
      </c>
      <c r="K29" s="1224">
        <f t="shared" si="0"/>
        <v>4.145211100378022</v>
      </c>
      <c r="L29" s="1182">
        <f t="shared" si="1"/>
        <v>105.2883613954525</v>
      </c>
      <c r="M29" s="1199">
        <f t="shared" si="2"/>
        <v>2.03594441982575</v>
      </c>
      <c r="N29" s="1205">
        <f t="shared" si="3"/>
        <v>0.14315061030252774</v>
      </c>
      <c r="O29" s="1206">
        <f t="shared" si="4"/>
        <v>14037.293708413456</v>
      </c>
      <c r="P29" s="1206">
        <f t="shared" si="5"/>
        <v>14.037293708413456</v>
      </c>
      <c r="Q29" s="1201">
        <f t="shared" si="6"/>
        <v>140.37293708413455</v>
      </c>
      <c r="T29" s="430"/>
    </row>
    <row r="30" spans="1:20" ht="15" customHeight="1">
      <c r="A30" s="1176">
        <v>11500</v>
      </c>
      <c r="B30" s="1220">
        <v>3505.2009562188214</v>
      </c>
      <c r="C30" s="1224">
        <v>19.40713008952547</v>
      </c>
      <c r="D30" s="421">
        <v>492.9411016795201</v>
      </c>
      <c r="E30" s="1197">
        <v>9.531924250371352</v>
      </c>
      <c r="F30" s="1205">
        <v>0.6702053162703265</v>
      </c>
      <c r="G30" s="1206">
        <f t="shared" si="7"/>
        <v>65720.07516799655</v>
      </c>
      <c r="H30" s="1206">
        <f t="shared" si="8"/>
        <v>65.72007516799654</v>
      </c>
      <c r="I30" s="1201">
        <v>657.2007516799655</v>
      </c>
      <c r="K30" s="1224">
        <f t="shared" si="0"/>
        <v>4.06482339725111</v>
      </c>
      <c r="L30" s="1182">
        <f t="shared" si="1"/>
        <v>103.24651374677548</v>
      </c>
      <c r="M30" s="1199">
        <f t="shared" si="2"/>
        <v>1.9964615342402796</v>
      </c>
      <c r="N30" s="1205">
        <f t="shared" si="3"/>
        <v>0.14037450349281988</v>
      </c>
      <c r="O30" s="1206">
        <f t="shared" si="4"/>
        <v>13765.069743936876</v>
      </c>
      <c r="P30" s="1206">
        <f t="shared" si="5"/>
        <v>13.765069743936875</v>
      </c>
      <c r="Q30" s="1201">
        <f t="shared" si="6"/>
        <v>137.65069743936877</v>
      </c>
      <c r="T30" s="430"/>
    </row>
    <row r="31" spans="1:20" ht="15" customHeight="1">
      <c r="A31" s="1176">
        <v>12000</v>
      </c>
      <c r="B31" s="1221">
        <v>3657.600997793553</v>
      </c>
      <c r="C31" s="1224">
        <v>19.02937559545578</v>
      </c>
      <c r="D31" s="421">
        <v>483.3461375806498</v>
      </c>
      <c r="E31" s="1197">
        <v>9.346387944585826</v>
      </c>
      <c r="F31" s="1205">
        <v>0.6571599525816914</v>
      </c>
      <c r="G31" s="1206">
        <f t="shared" si="7"/>
        <v>64440.851829420186</v>
      </c>
      <c r="H31" s="1206">
        <f t="shared" si="8"/>
        <v>64.44085182942018</v>
      </c>
      <c r="I31" s="1201">
        <v>644.4085182942018</v>
      </c>
      <c r="K31" s="1224">
        <f t="shared" si="0"/>
        <v>3.985702718468213</v>
      </c>
      <c r="L31" s="1182">
        <f t="shared" si="1"/>
        <v>101.2368485162671</v>
      </c>
      <c r="M31" s="1199">
        <f t="shared" si="2"/>
        <v>1.9576009549935014</v>
      </c>
      <c r="N31" s="1205">
        <f t="shared" si="3"/>
        <v>0.13764215206823524</v>
      </c>
      <c r="O31" s="1206">
        <f t="shared" si="4"/>
        <v>13497.136415672057</v>
      </c>
      <c r="P31" s="1206">
        <f t="shared" si="5"/>
        <v>13.497136415672058</v>
      </c>
      <c r="Q31" s="1201">
        <f t="shared" si="6"/>
        <v>134.97136415672057</v>
      </c>
      <c r="T31" s="430"/>
    </row>
    <row r="32" spans="1:20" ht="15" customHeight="1">
      <c r="A32" s="1177">
        <v>12500</v>
      </c>
      <c r="B32" s="1222">
        <v>3810.001039368284</v>
      </c>
      <c r="C32" s="1225">
        <v>18.657597180163474</v>
      </c>
      <c r="D32" s="427">
        <v>473.90296588192615</v>
      </c>
      <c r="E32" s="1198">
        <v>9.163786824474718</v>
      </c>
      <c r="F32" s="1207">
        <v>0.644320966639203</v>
      </c>
      <c r="G32" s="1208">
        <f t="shared" si="7"/>
        <v>63181.86581313969</v>
      </c>
      <c r="H32" s="1208">
        <f t="shared" si="8"/>
        <v>63.18186581313969</v>
      </c>
      <c r="I32" s="1202">
        <v>631.8186581313969</v>
      </c>
      <c r="K32" s="1225">
        <f t="shared" si="0"/>
        <v>3.9078337293852394</v>
      </c>
      <c r="L32" s="1184">
        <f t="shared" si="1"/>
        <v>99.25897620396943</v>
      </c>
      <c r="M32" s="1198">
        <f t="shared" si="2"/>
        <v>1.9193551503862296</v>
      </c>
      <c r="N32" s="1207">
        <f t="shared" si="3"/>
        <v>0.13495302646258106</v>
      </c>
      <c r="O32" s="1208">
        <f t="shared" si="4"/>
        <v>13233.441794562108</v>
      </c>
      <c r="P32" s="1208">
        <f t="shared" si="5"/>
        <v>13.233441794562108</v>
      </c>
      <c r="Q32" s="1202">
        <f t="shared" si="6"/>
        <v>132.33441794562108</v>
      </c>
      <c r="T32" s="430"/>
    </row>
    <row r="33" spans="1:20" ht="15" customHeight="1">
      <c r="A33" s="1178">
        <v>13000</v>
      </c>
      <c r="B33" s="1219">
        <v>3962.401080943015</v>
      </c>
      <c r="C33" s="1223">
        <v>18.29172224602333</v>
      </c>
      <c r="D33" s="421">
        <v>464.60974260367817</v>
      </c>
      <c r="E33" s="1197">
        <v>8.984085233294282</v>
      </c>
      <c r="F33" s="1205">
        <v>0.6316858513583956</v>
      </c>
      <c r="G33" s="1206">
        <f t="shared" si="7"/>
        <v>61942.87127541801</v>
      </c>
      <c r="H33" s="1206">
        <f t="shared" si="8"/>
        <v>61.94287127541801</v>
      </c>
      <c r="I33" s="1200">
        <v>619.4287127541801</v>
      </c>
      <c r="K33" s="1226">
        <f t="shared" si="0"/>
        <v>3.8312012244295865</v>
      </c>
      <c r="L33" s="1182">
        <f t="shared" si="1"/>
        <v>97.31251058834039</v>
      </c>
      <c r="M33" s="1199">
        <f t="shared" si="2"/>
        <v>1.8817166521134874</v>
      </c>
      <c r="N33" s="1205">
        <f t="shared" si="3"/>
        <v>0.13230660156701596</v>
      </c>
      <c r="O33" s="1206">
        <f t="shared" si="4"/>
        <v>12973.934388636302</v>
      </c>
      <c r="P33" s="1206">
        <f t="shared" si="5"/>
        <v>12.973934388636302</v>
      </c>
      <c r="Q33" s="1201">
        <f t="shared" si="6"/>
        <v>129.73934388636303</v>
      </c>
      <c r="T33" s="430"/>
    </row>
    <row r="34" spans="1:20" ht="15" customHeight="1">
      <c r="A34" s="1176">
        <v>13500</v>
      </c>
      <c r="B34" s="1220">
        <v>4114.801122517747</v>
      </c>
      <c r="C34" s="1224">
        <v>17.931678808751897</v>
      </c>
      <c r="D34" s="421">
        <v>455.4646393451159</v>
      </c>
      <c r="E34" s="1197">
        <v>8.807247815547136</v>
      </c>
      <c r="F34" s="1205">
        <v>0.619252120835932</v>
      </c>
      <c r="G34" s="1206">
        <f t="shared" si="7"/>
        <v>60723.6244495314</v>
      </c>
      <c r="H34" s="1206">
        <f t="shared" si="8"/>
        <v>60.7236244495314</v>
      </c>
      <c r="I34" s="1201">
        <v>607.236244495314</v>
      </c>
      <c r="K34" s="1224">
        <f t="shared" si="0"/>
        <v>3.7557901264930846</v>
      </c>
      <c r="L34" s="1182">
        <f t="shared" si="1"/>
        <v>95.39706871083453</v>
      </c>
      <c r="M34" s="1199">
        <f t="shared" si="2"/>
        <v>1.8446780549663475</v>
      </c>
      <c r="N34" s="1205">
        <f t="shared" si="3"/>
        <v>0.12970235670908595</v>
      </c>
      <c r="O34" s="1206">
        <f t="shared" si="4"/>
        <v>12718.563140954351</v>
      </c>
      <c r="P34" s="1206">
        <f t="shared" si="5"/>
        <v>12.718563140954352</v>
      </c>
      <c r="Q34" s="1201">
        <f t="shared" si="6"/>
        <v>127.18563140954353</v>
      </c>
      <c r="T34" s="430"/>
    </row>
    <row r="35" spans="1:17" ht="15" customHeight="1">
      <c r="A35" s="1176">
        <v>14000</v>
      </c>
      <c r="B35" s="1220">
        <v>4267.201164092478</v>
      </c>
      <c r="C35" s="1224">
        <v>17.577395494511705</v>
      </c>
      <c r="D35" s="421">
        <v>446.4658432107771</v>
      </c>
      <c r="E35" s="1197">
        <v>8.633239515559973</v>
      </c>
      <c r="F35" s="1205">
        <v>0.6070173102496</v>
      </c>
      <c r="G35" s="1206">
        <f t="shared" si="7"/>
        <v>59523.883635963146</v>
      </c>
      <c r="H35" s="1206">
        <f t="shared" si="8"/>
        <v>59.523883635963145</v>
      </c>
      <c r="I35" s="1201">
        <v>595.2388363596315</v>
      </c>
      <c r="K35" s="1224">
        <f t="shared" si="0"/>
        <v>3.6815854863254764</v>
      </c>
      <c r="L35" s="1182">
        <f t="shared" si="1"/>
        <v>93.51227086049727</v>
      </c>
      <c r="M35" s="1199">
        <f t="shared" si="2"/>
        <v>1.8082320165340364</v>
      </c>
      <c r="N35" s="1205">
        <f t="shared" si="3"/>
        <v>0.12713977563177872</v>
      </c>
      <c r="O35" s="1206">
        <f t="shared" si="4"/>
        <v>12467.27742755248</v>
      </c>
      <c r="P35" s="1206">
        <f t="shared" si="5"/>
        <v>12.46727742755248</v>
      </c>
      <c r="Q35" s="1201">
        <f t="shared" si="6"/>
        <v>124.67277427552482</v>
      </c>
    </row>
    <row r="36" spans="1:17" ht="15" customHeight="1">
      <c r="A36" s="1176">
        <v>14500</v>
      </c>
      <c r="B36" s="1221">
        <v>4419.60120566721</v>
      </c>
      <c r="C36" s="1224">
        <v>17.228801537018597</v>
      </c>
      <c r="D36" s="421">
        <v>437.61155673705366</v>
      </c>
      <c r="E36" s="1197">
        <v>8.462025576062816</v>
      </c>
      <c r="F36" s="1205">
        <v>0.594978975758418</v>
      </c>
      <c r="G36" s="1206">
        <f t="shared" si="7"/>
        <v>58343.409192607854</v>
      </c>
      <c r="H36" s="1206">
        <f t="shared" si="8"/>
        <v>58.34340919260786</v>
      </c>
      <c r="I36" s="1201">
        <v>583.4340919260785</v>
      </c>
      <c r="K36" s="1224">
        <f t="shared" si="0"/>
        <v>3.608572481928545</v>
      </c>
      <c r="L36" s="1182">
        <f t="shared" si="1"/>
        <v>91.65774055857588</v>
      </c>
      <c r="M36" s="1199">
        <f t="shared" si="2"/>
        <v>1.7723712569063568</v>
      </c>
      <c r="N36" s="1205">
        <f t="shared" si="3"/>
        <v>0.12461834647260064</v>
      </c>
      <c r="O36" s="1206">
        <f t="shared" si="4"/>
        <v>12220.027055391714</v>
      </c>
      <c r="P36" s="1206">
        <f t="shared" si="5"/>
        <v>12.220027055391716</v>
      </c>
      <c r="Q36" s="1201">
        <f t="shared" si="6"/>
        <v>122.20027055391714</v>
      </c>
    </row>
    <row r="37" spans="1:17" ht="15" customHeight="1">
      <c r="A37" s="1177">
        <v>15000</v>
      </c>
      <c r="B37" s="1222">
        <v>4572.001247241941</v>
      </c>
      <c r="C37" s="1225">
        <v>16.885826774651502</v>
      </c>
      <c r="D37" s="427">
        <v>428.89999781877975</v>
      </c>
      <c r="E37" s="1198">
        <v>8.293571536769456</v>
      </c>
      <c r="F37" s="1207">
        <v>0.5831346944028226</v>
      </c>
      <c r="G37" s="1208">
        <f t="shared" si="7"/>
        <v>57181.96352498403</v>
      </c>
      <c r="H37" s="1208">
        <f t="shared" si="8"/>
        <v>57.18196352498403</v>
      </c>
      <c r="I37" s="1202">
        <v>571.8196352498403</v>
      </c>
      <c r="K37" s="1225">
        <f t="shared" si="0"/>
        <v>3.536736417950757</v>
      </c>
      <c r="L37" s="1184">
        <f t="shared" si="1"/>
        <v>89.83310454314342</v>
      </c>
      <c r="M37" s="1198">
        <f t="shared" si="2"/>
        <v>1.7370885583763624</v>
      </c>
      <c r="N37" s="1207">
        <f t="shared" si="3"/>
        <v>0.1221375617426712</v>
      </c>
      <c r="O37" s="1208">
        <f t="shared" si="4"/>
        <v>11976.762260307905</v>
      </c>
      <c r="P37" s="1208">
        <f t="shared" si="5"/>
        <v>11.976762260307904</v>
      </c>
      <c r="Q37" s="1202">
        <f t="shared" si="6"/>
        <v>119.76762260307905</v>
      </c>
    </row>
    <row r="38" spans="1:17" ht="15" customHeight="1">
      <c r="A38" s="1178">
        <v>15500</v>
      </c>
      <c r="B38" s="1219">
        <v>4724.401288816673</v>
      </c>
      <c r="C38" s="1223">
        <v>16.54840164756529</v>
      </c>
      <c r="D38" s="421">
        <v>420.32939963589837</v>
      </c>
      <c r="E38" s="1197">
        <v>8.127843232959423</v>
      </c>
      <c r="F38" s="1205">
        <v>0.5714820640049656</v>
      </c>
      <c r="G38" s="1206">
        <f t="shared" si="7"/>
        <v>56039.3110764571</v>
      </c>
      <c r="H38" s="1206">
        <f t="shared" si="8"/>
        <v>56.0393110764571</v>
      </c>
      <c r="I38" s="1200">
        <v>560.393110764571</v>
      </c>
      <c r="K38" s="1226">
        <f t="shared" si="0"/>
        <v>3.4660627250825495</v>
      </c>
      <c r="L38" s="1182">
        <f t="shared" si="1"/>
        <v>88.03799275373892</v>
      </c>
      <c r="M38" s="1199">
        <f t="shared" si="2"/>
        <v>1.702376765143351</v>
      </c>
      <c r="N38" s="1205">
        <f t="shared" si="3"/>
        <v>0.11969691830584005</v>
      </c>
      <c r="O38" s="1206">
        <f t="shared" si="4"/>
        <v>11737.43370496394</v>
      </c>
      <c r="P38" s="1206">
        <f t="shared" si="5"/>
        <v>11.73743370496394</v>
      </c>
      <c r="Q38" s="1201">
        <f t="shared" si="6"/>
        <v>117.3743370496394</v>
      </c>
    </row>
    <row r="39" spans="1:17" ht="15" customHeight="1">
      <c r="A39" s="1176">
        <v>16000</v>
      </c>
      <c r="B39" s="1220">
        <v>4876.801330391403</v>
      </c>
      <c r="C39" s="1224">
        <v>16.216457194806246</v>
      </c>
      <c r="D39" s="421">
        <v>411.8980105801944</v>
      </c>
      <c r="E39" s="1197">
        <v>7.964806794061232</v>
      </c>
      <c r="F39" s="1205">
        <v>0.5600187030690986</v>
      </c>
      <c r="G39" s="1206">
        <f t="shared" si="7"/>
        <v>54915.21831847132</v>
      </c>
      <c r="H39" s="1206">
        <f t="shared" si="8"/>
        <v>54.91521831847132</v>
      </c>
      <c r="I39" s="1201">
        <v>549.1521831847132</v>
      </c>
      <c r="K39" s="1224">
        <f t="shared" si="0"/>
        <v>3.396536959452168</v>
      </c>
      <c r="L39" s="1182">
        <f t="shared" si="1"/>
        <v>86.27203831602172</v>
      </c>
      <c r="M39" s="1199">
        <f t="shared" si="2"/>
        <v>1.668228783016125</v>
      </c>
      <c r="N39" s="1205">
        <f t="shared" si="3"/>
        <v>0.1172959173578227</v>
      </c>
      <c r="O39" s="1206">
        <f t="shared" si="4"/>
        <v>11501.992476803818</v>
      </c>
      <c r="P39" s="1206">
        <f t="shared" si="5"/>
        <v>11.501992476803817</v>
      </c>
      <c r="Q39" s="1201">
        <f t="shared" si="6"/>
        <v>115.01992476803818</v>
      </c>
    </row>
    <row r="40" spans="1:17" ht="15" customHeight="1">
      <c r="A40" s="1176">
        <v>16500</v>
      </c>
      <c r="B40" s="1220">
        <v>5029.2013719661345</v>
      </c>
      <c r="C40" s="1224">
        <v>15.889925051430657</v>
      </c>
      <c r="D40" s="421">
        <v>403.6040941821066</v>
      </c>
      <c r="E40" s="1197">
        <v>7.8044286422371565</v>
      </c>
      <c r="F40" s="1205">
        <v>0.5487422506820668</v>
      </c>
      <c r="G40" s="1206">
        <f t="shared" si="7"/>
        <v>53809.45374079205</v>
      </c>
      <c r="H40" s="1206">
        <f t="shared" si="8"/>
        <v>53.80945374079205</v>
      </c>
      <c r="I40" s="1201">
        <v>538.0945374079205</v>
      </c>
      <c r="K40" s="1224">
        <f t="shared" si="0"/>
        <v>3.328144802022151</v>
      </c>
      <c r="L40" s="1182">
        <f t="shared" si="1"/>
        <v>84.53487752644223</v>
      </c>
      <c r="M40" s="1199">
        <f t="shared" si="2"/>
        <v>1.6346375791165724</v>
      </c>
      <c r="N40" s="1205">
        <f t="shared" si="3"/>
        <v>0.1149340644053589</v>
      </c>
      <c r="O40" s="1206">
        <f t="shared" si="4"/>
        <v>11270.390086008894</v>
      </c>
      <c r="P40" s="1206">
        <f t="shared" si="5"/>
        <v>11.270390086008895</v>
      </c>
      <c r="Q40" s="1201">
        <f t="shared" si="6"/>
        <v>112.70390086008895</v>
      </c>
    </row>
    <row r="41" spans="1:17" ht="15" customHeight="1">
      <c r="A41" s="1176">
        <v>17000</v>
      </c>
      <c r="B41" s="1221">
        <v>5181.601413540866</v>
      </c>
      <c r="C41" s="1224">
        <v>15.568737445625814</v>
      </c>
      <c r="D41" s="421">
        <v>395.44592903760133</v>
      </c>
      <c r="E41" s="1197">
        <v>7.646675490969196</v>
      </c>
      <c r="F41" s="1205">
        <v>0.5376503664138862</v>
      </c>
      <c r="G41" s="1206">
        <f t="shared" si="7"/>
        <v>52721.78784175652</v>
      </c>
      <c r="H41" s="1206">
        <f t="shared" si="8"/>
        <v>52.72178784175652</v>
      </c>
      <c r="I41" s="1201">
        <v>527.2178784175652</v>
      </c>
      <c r="K41" s="1224">
        <f t="shared" si="0"/>
        <v>3.260872057986327</v>
      </c>
      <c r="L41" s="1182">
        <f t="shared" si="1"/>
        <v>82.8261498369256</v>
      </c>
      <c r="M41" s="1199">
        <f t="shared" si="2"/>
        <v>1.601596181583498</v>
      </c>
      <c r="N41" s="1205">
        <f t="shared" si="3"/>
        <v>0.11261086924538846</v>
      </c>
      <c r="O41" s="1206">
        <f t="shared" si="4"/>
        <v>11042.578463455904</v>
      </c>
      <c r="P41" s="1206">
        <f t="shared" si="5"/>
        <v>11.042578463455904</v>
      </c>
      <c r="Q41" s="1201">
        <f t="shared" si="6"/>
        <v>110.42578463455904</v>
      </c>
    </row>
    <row r="42" spans="1:17" ht="15" customHeight="1">
      <c r="A42" s="1177">
        <v>17500</v>
      </c>
      <c r="B42" s="1222">
        <v>5334.001455115597</v>
      </c>
      <c r="C42" s="1225">
        <v>15.252827195834284</v>
      </c>
      <c r="D42" s="427">
        <v>387.4218087351287</v>
      </c>
      <c r="E42" s="1198">
        <v>7.491514343646646</v>
      </c>
      <c r="F42" s="1207">
        <v>0.5267407302184323</v>
      </c>
      <c r="G42" s="1208">
        <f t="shared" si="7"/>
        <v>51651.993118535414</v>
      </c>
      <c r="H42" s="1208">
        <f t="shared" si="8"/>
        <v>51.651993118535415</v>
      </c>
      <c r="I42" s="1202">
        <v>516.5199311853542</v>
      </c>
      <c r="K42" s="1225">
        <f t="shared" si="0"/>
        <v>3.1947046561674908</v>
      </c>
      <c r="L42" s="1184">
        <f t="shared" si="1"/>
        <v>81.14549783957271</v>
      </c>
      <c r="M42" s="1198">
        <f t="shared" si="2"/>
        <v>1.56909767927679</v>
      </c>
      <c r="N42" s="1207">
        <f t="shared" si="3"/>
        <v>0.11032584594425064</v>
      </c>
      <c r="O42" s="1208">
        <f t="shared" si="4"/>
        <v>10818.509958677243</v>
      </c>
      <c r="P42" s="1208">
        <f t="shared" si="5"/>
        <v>10.818509958677243</v>
      </c>
      <c r="Q42" s="1202">
        <f t="shared" si="6"/>
        <v>108.18509958677242</v>
      </c>
    </row>
    <row r="43" spans="1:17" ht="15" customHeight="1">
      <c r="A43" s="1178">
        <v>18000</v>
      </c>
      <c r="B43" s="1219">
        <v>5486.401496690329</v>
      </c>
      <c r="C43" s="1223">
        <v>14.942127707880765</v>
      </c>
      <c r="D43" s="421">
        <v>379.5300417826449</v>
      </c>
      <c r="E43" s="1197">
        <v>7.338912492154933</v>
      </c>
      <c r="F43" s="1205">
        <v>0.5160110423342198</v>
      </c>
      <c r="G43" s="1206">
        <f t="shared" si="7"/>
        <v>50599.84405740328</v>
      </c>
      <c r="H43" s="1206">
        <f t="shared" si="8"/>
        <v>50.59984405740328</v>
      </c>
      <c r="I43" s="1200">
        <v>505.9984405740328</v>
      </c>
      <c r="K43" s="1226">
        <f t="shared" si="0"/>
        <v>3.129628648415626</v>
      </c>
      <c r="L43" s="1182">
        <f t="shared" si="1"/>
        <v>79.49256725137498</v>
      </c>
      <c r="M43" s="1199">
        <f t="shared" si="2"/>
        <v>1.5371352214818508</v>
      </c>
      <c r="N43" s="1205">
        <f t="shared" si="3"/>
        <v>0.10807851281690234</v>
      </c>
      <c r="O43" s="1206">
        <f t="shared" si="4"/>
        <v>10598.137337823116</v>
      </c>
      <c r="P43" s="1206">
        <f t="shared" si="5"/>
        <v>10.598137337823117</v>
      </c>
      <c r="Q43" s="1201">
        <f t="shared" si="6"/>
        <v>105.98137337823117</v>
      </c>
    </row>
    <row r="44" spans="1:17" ht="15" customHeight="1">
      <c r="A44" s="1176">
        <v>18500</v>
      </c>
      <c r="B44" s="1220">
        <v>5638.80153826506</v>
      </c>
      <c r="C44" s="1224">
        <v>14.636572972101867</v>
      </c>
      <c r="D44" s="421">
        <v>371.7689515347087</v>
      </c>
      <c r="E44" s="1197">
        <v>7.1888375154658934</v>
      </c>
      <c r="F44" s="1205">
        <v>0.5054590231852824</v>
      </c>
      <c r="G44" s="1206">
        <f t="shared" si="7"/>
        <v>49565.1171240189</v>
      </c>
      <c r="H44" s="1206">
        <f t="shared" si="8"/>
        <v>49.5651171240189</v>
      </c>
      <c r="I44" s="1201">
        <v>495.651171240189</v>
      </c>
      <c r="K44" s="1224">
        <f t="shared" si="0"/>
        <v>3.065630209006736</v>
      </c>
      <c r="L44" s="1182">
        <f t="shared" si="1"/>
        <v>77.86700689894474</v>
      </c>
      <c r="M44" s="1199">
        <f t="shared" si="2"/>
        <v>1.5057020176143314</v>
      </c>
      <c r="N44" s="1205">
        <f t="shared" si="3"/>
        <v>0.10586839240615739</v>
      </c>
      <c r="O44" s="1206">
        <f t="shared" si="4"/>
        <v>10381.413781625759</v>
      </c>
      <c r="P44" s="1206">
        <f t="shared" si="5"/>
        <v>10.381413781625758</v>
      </c>
      <c r="Q44" s="1201">
        <f t="shared" si="6"/>
        <v>103.81413781625758</v>
      </c>
    </row>
    <row r="45" spans="1:17" ht="15" customHeight="1">
      <c r="A45" s="1176">
        <v>19000</v>
      </c>
      <c r="B45" s="1220">
        <v>5791.2015798397915</v>
      </c>
      <c r="C45" s="1224">
        <v>14.336097560478834</v>
      </c>
      <c r="D45" s="421">
        <v>364.1368761196525</v>
      </c>
      <c r="E45" s="1197">
        <v>7.041257278229491</v>
      </c>
      <c r="F45" s="1205">
        <v>0.4950824132821539</v>
      </c>
      <c r="G45" s="1206">
        <f t="shared" si="7"/>
        <v>48547.590753715514</v>
      </c>
      <c r="H45" s="1206">
        <f t="shared" si="8"/>
        <v>48.54759075371551</v>
      </c>
      <c r="I45" s="1201">
        <v>485.47590753715514</v>
      </c>
      <c r="K45" s="1224">
        <f t="shared" si="0"/>
        <v>3.0026956340422917</v>
      </c>
      <c r="L45" s="1182">
        <f t="shared" si="1"/>
        <v>76.26846870326122</v>
      </c>
      <c r="M45" s="1199">
        <f t="shared" si="2"/>
        <v>1.4747913369251668</v>
      </c>
      <c r="N45" s="1205">
        <f t="shared" si="3"/>
        <v>0.10369501146194714</v>
      </c>
      <c r="O45" s="1206">
        <f t="shared" si="4"/>
        <v>10168.292883365715</v>
      </c>
      <c r="P45" s="1206">
        <f t="shared" si="5"/>
        <v>10.168292883365714</v>
      </c>
      <c r="Q45" s="1201">
        <f t="shared" si="6"/>
        <v>101.68292883365714</v>
      </c>
    </row>
    <row r="46" spans="1:17" ht="15" customHeight="1">
      <c r="A46" s="1176">
        <v>19500</v>
      </c>
      <c r="B46" s="1221">
        <v>5943.601621414523</v>
      </c>
      <c r="C46" s="1224">
        <v>14.04063662377301</v>
      </c>
      <c r="D46" s="421">
        <v>356.63216836682307</v>
      </c>
      <c r="E46" s="1197">
        <v>6.896139929366883</v>
      </c>
      <c r="F46" s="1205">
        <v>0.4848789731229451</v>
      </c>
      <c r="G46" s="1206">
        <f t="shared" si="7"/>
        <v>47547.045341800454</v>
      </c>
      <c r="H46" s="1206">
        <f t="shared" si="8"/>
        <v>47.547045341800455</v>
      </c>
      <c r="I46" s="1201">
        <v>475.4704534180045</v>
      </c>
      <c r="K46" s="1224">
        <f t="shared" si="0"/>
        <v>2.940811340849257</v>
      </c>
      <c r="L46" s="1182">
        <f t="shared" si="1"/>
        <v>74.69660766443108</v>
      </c>
      <c r="M46" s="1199">
        <f t="shared" si="2"/>
        <v>1.4443965082058936</v>
      </c>
      <c r="N46" s="1205">
        <f t="shared" si="3"/>
        <v>0.10155790092060085</v>
      </c>
      <c r="O46" s="1206">
        <f t="shared" si="4"/>
        <v>9958.728646840105</v>
      </c>
      <c r="P46" s="1206">
        <f t="shared" si="5"/>
        <v>9.958728646840106</v>
      </c>
      <c r="Q46" s="1201">
        <f t="shared" si="6"/>
        <v>99.58728646840105</v>
      </c>
    </row>
    <row r="47" spans="1:17" ht="15" customHeight="1">
      <c r="A47" s="1177">
        <v>20000</v>
      </c>
      <c r="B47" s="1222">
        <v>6096.001662989254</v>
      </c>
      <c r="C47" s="1225">
        <v>13.750125888664355</v>
      </c>
      <c r="D47" s="427">
        <v>349.25319573389993</v>
      </c>
      <c r="E47" s="1198">
        <v>6.753453900664991</v>
      </c>
      <c r="F47" s="1207">
        <v>0.47484648309452476</v>
      </c>
      <c r="G47" s="1208">
        <f t="shared" si="7"/>
        <v>46563.263233865015</v>
      </c>
      <c r="H47" s="1208">
        <f t="shared" si="8"/>
        <v>46.563263233865015</v>
      </c>
      <c r="I47" s="1202">
        <v>465.6326323386501</v>
      </c>
      <c r="K47" s="1225">
        <f t="shared" si="0"/>
        <v>2.879963867380749</v>
      </c>
      <c r="L47" s="1184">
        <f t="shared" si="1"/>
        <v>73.15108184646535</v>
      </c>
      <c r="M47" s="1198">
        <f t="shared" si="2"/>
        <v>1.4145109194942824</v>
      </c>
      <c r="N47" s="1207">
        <f t="shared" si="3"/>
        <v>0.09945659588414821</v>
      </c>
      <c r="O47" s="1208">
        <f t="shared" si="4"/>
        <v>9752.675484333027</v>
      </c>
      <c r="P47" s="1315">
        <f t="shared" si="5"/>
        <v>9.752675484333027</v>
      </c>
      <c r="Q47" s="1202">
        <f t="shared" si="6"/>
        <v>97.52675484333027</v>
      </c>
    </row>
    <row r="48" spans="1:17" ht="15" customHeight="1">
      <c r="A48" s="1178">
        <v>20500</v>
      </c>
      <c r="B48" s="1219">
        <v>6248.401704563986</v>
      </c>
      <c r="C48" s="1223">
        <v>13.464501654892654</v>
      </c>
      <c r="D48" s="421">
        <v>341.9983402342822</v>
      </c>
      <c r="E48" s="1197">
        <v>6.613167905372382</v>
      </c>
      <c r="F48" s="1205">
        <v>0.46498274337379447</v>
      </c>
      <c r="G48" s="1206">
        <f t="shared" si="7"/>
        <v>45596.02871610347</v>
      </c>
      <c r="H48" s="1206">
        <f t="shared" si="8"/>
        <v>45.596028716103476</v>
      </c>
      <c r="I48" s="1200">
        <v>455.9602871610347</v>
      </c>
      <c r="K48" s="1226">
        <f t="shared" si="0"/>
        <v>2.8201398716172665</v>
      </c>
      <c r="L48" s="1182">
        <f t="shared" si="1"/>
        <v>71.63155236207041</v>
      </c>
      <c r="M48" s="1199">
        <f t="shared" si="2"/>
        <v>1.3851280177802454</v>
      </c>
      <c r="N48" s="1205">
        <f t="shared" si="3"/>
        <v>0.09739063559964126</v>
      </c>
      <c r="O48" s="1206">
        <f t="shared" si="4"/>
        <v>9550.088214587871</v>
      </c>
      <c r="P48" s="1314">
        <f t="shared" si="5"/>
        <v>9.550088214587873</v>
      </c>
      <c r="Q48" s="1201">
        <f t="shared" si="6"/>
        <v>95.50088214587872</v>
      </c>
    </row>
    <row r="49" spans="1:17" ht="15" customHeight="1">
      <c r="A49" s="1176">
        <v>21000</v>
      </c>
      <c r="B49" s="1220">
        <v>6400.801746138717</v>
      </c>
      <c r="C49" s="1224">
        <v>13.183700792401863</v>
      </c>
      <c r="D49" s="421">
        <v>334.86599836455474</v>
      </c>
      <c r="E49" s="1197">
        <v>6.475250936796705</v>
      </c>
      <c r="F49" s="1205">
        <v>0.4552855738290716</v>
      </c>
      <c r="G49" s="1206">
        <f t="shared" si="7"/>
        <v>44645.12800564277</v>
      </c>
      <c r="H49" s="1206">
        <f t="shared" si="8"/>
        <v>44.645128005642775</v>
      </c>
      <c r="I49" s="1201">
        <v>446.4512800564277</v>
      </c>
      <c r="K49" s="1224">
        <f t="shared" si="0"/>
        <v>2.76132613096857</v>
      </c>
      <c r="L49" s="1182">
        <f t="shared" si="1"/>
        <v>70.13768335745598</v>
      </c>
      <c r="M49" s="1199">
        <f t="shared" si="2"/>
        <v>1.35624130871207</v>
      </c>
      <c r="N49" s="1205">
        <f t="shared" si="3"/>
        <v>0.09535956343849904</v>
      </c>
      <c r="O49" s="1206">
        <f t="shared" si="4"/>
        <v>9350.922060781879</v>
      </c>
      <c r="P49" s="1314">
        <f t="shared" si="5"/>
        <v>9.35092206078188</v>
      </c>
      <c r="Q49" s="1201">
        <f t="shared" si="6"/>
        <v>93.50922060781879</v>
      </c>
    </row>
    <row r="50" spans="1:17" ht="15" customHeight="1">
      <c r="A50" s="1176">
        <v>21500</v>
      </c>
      <c r="B50" s="1220">
        <v>6553.2017877134485</v>
      </c>
      <c r="C50" s="1224">
        <v>12.907660738487134</v>
      </c>
      <c r="D50" s="421">
        <v>327.8545810320228</v>
      </c>
      <c r="E50" s="1197">
        <v>6.33967226690343</v>
      </c>
      <c r="F50" s="1205">
        <v>0.44575281392156474</v>
      </c>
      <c r="G50" s="1206">
        <f t="shared" si="7"/>
        <v>43710.349240881194</v>
      </c>
      <c r="H50" s="1206">
        <f t="shared" si="8"/>
        <v>43.71034924088119</v>
      </c>
      <c r="I50" s="1201">
        <v>437.103492408812</v>
      </c>
      <c r="K50" s="1224">
        <f t="shared" si="0"/>
        <v>2.70350954167613</v>
      </c>
      <c r="L50" s="1182">
        <f t="shared" si="1"/>
        <v>68.66914199715717</v>
      </c>
      <c r="M50" s="1199">
        <f t="shared" si="2"/>
        <v>1.3278443563029234</v>
      </c>
      <c r="N50" s="1205">
        <f t="shared" si="3"/>
        <v>0.09336292687587174</v>
      </c>
      <c r="O50" s="1206">
        <f t="shared" si="4"/>
        <v>9155.132648502566</v>
      </c>
      <c r="P50" s="1314">
        <f t="shared" si="5"/>
        <v>9.155132648502565</v>
      </c>
      <c r="Q50" s="1201">
        <f t="shared" si="6"/>
        <v>91.55132648502567</v>
      </c>
    </row>
    <row r="51" spans="1:17" ht="15" customHeight="1">
      <c r="A51" s="1176">
        <v>22000</v>
      </c>
      <c r="B51" s="1221">
        <v>6705.60182928818</v>
      </c>
      <c r="C51" s="1224">
        <v>12.63631949494495</v>
      </c>
      <c r="D51" s="421">
        <v>320.96251348232533</v>
      </c>
      <c r="E51" s="1197">
        <v>6.206401444916122</v>
      </c>
      <c r="F51" s="1205">
        <v>0.4363823226069563</v>
      </c>
      <c r="G51" s="1206">
        <f t="shared" si="7"/>
        <v>42791.48247183765</v>
      </c>
      <c r="H51" s="1206">
        <f t="shared" si="8"/>
        <v>42.79148247183765</v>
      </c>
      <c r="I51" s="1201">
        <v>427.9148247183765</v>
      </c>
      <c r="K51" s="1224">
        <f t="shared" si="0"/>
        <v>2.6466771182162194</v>
      </c>
      <c r="L51" s="1182">
        <f t="shared" si="1"/>
        <v>67.22559844887304</v>
      </c>
      <c r="M51" s="1199">
        <f t="shared" si="2"/>
        <v>1.2999307826376818</v>
      </c>
      <c r="N51" s="1205">
        <f t="shared" si="3"/>
        <v>0.09140027747002699</v>
      </c>
      <c r="O51" s="1206">
        <f t="shared" si="4"/>
        <v>8962.676003726396</v>
      </c>
      <c r="P51" s="1314">
        <f t="shared" si="5"/>
        <v>8.962676003726395</v>
      </c>
      <c r="Q51" s="1201">
        <f t="shared" si="6"/>
        <v>89.62676003726396</v>
      </c>
    </row>
    <row r="52" spans="1:17" ht="15" customHeight="1">
      <c r="A52" s="1177">
        <v>22500</v>
      </c>
      <c r="B52" s="1222">
        <v>6858.001870862911</v>
      </c>
      <c r="C52" s="1225">
        <v>12.369615625226057</v>
      </c>
      <c r="D52" s="427">
        <v>314.1882352271196</v>
      </c>
      <c r="E52" s="1198">
        <v>6.07540829591809</v>
      </c>
      <c r="F52" s="1207">
        <v>0.4271719782370825</v>
      </c>
      <c r="G52" s="1208">
        <f t="shared" si="7"/>
        <v>41888.319650510384</v>
      </c>
      <c r="H52" s="1208">
        <f t="shared" si="8"/>
        <v>41.88831965051038</v>
      </c>
      <c r="I52" s="1202">
        <v>418.88319650510385</v>
      </c>
      <c r="K52" s="1225">
        <f t="shared" si="0"/>
        <v>2.5908159927035976</v>
      </c>
      <c r="L52" s="1184">
        <f t="shared" si="1"/>
        <v>65.8067258683202</v>
      </c>
      <c r="M52" s="1198">
        <f t="shared" si="2"/>
        <v>1.272494267580044</v>
      </c>
      <c r="N52" s="1207">
        <f t="shared" si="3"/>
        <v>0.08947117084175692</v>
      </c>
      <c r="O52" s="1208">
        <f t="shared" si="4"/>
        <v>8773.508550799399</v>
      </c>
      <c r="P52" s="1315">
        <f t="shared" si="5"/>
        <v>8.773508550799399</v>
      </c>
      <c r="Q52" s="1202">
        <f t="shared" si="6"/>
        <v>87.735085507994</v>
      </c>
    </row>
    <row r="53" spans="1:17" ht="15" customHeight="1">
      <c r="A53" s="1176">
        <v>23000</v>
      </c>
      <c r="B53" s="1219">
        <v>7010.401912437643</v>
      </c>
      <c r="C53" s="1223">
        <v>12.107488251591404</v>
      </c>
      <c r="D53" s="421">
        <v>307.5301999718417</v>
      </c>
      <c r="E53" s="1197">
        <v>5.946662919455506</v>
      </c>
      <c r="F53" s="1205">
        <v>0.4181196784617158</v>
      </c>
      <c r="G53" s="1206">
        <f t="shared" si="7"/>
        <v>41000.65462124586</v>
      </c>
      <c r="H53" s="1206">
        <f t="shared" si="8"/>
        <v>41.000654621245864</v>
      </c>
      <c r="I53" s="1200">
        <v>410.00654621245866</v>
      </c>
      <c r="K53" s="1226">
        <f t="shared" si="0"/>
        <v>2.5359134142958193</v>
      </c>
      <c r="L53" s="1182">
        <f t="shared" si="1"/>
        <v>64.41220038410223</v>
      </c>
      <c r="M53" s="1199">
        <f t="shared" si="2"/>
        <v>1.2455285484799559</v>
      </c>
      <c r="N53" s="1205">
        <f t="shared" si="3"/>
        <v>0.08757516665380638</v>
      </c>
      <c r="O53" s="1206">
        <f t="shared" si="4"/>
        <v>8587.587110419947</v>
      </c>
      <c r="P53" s="1314">
        <f t="shared" si="5"/>
        <v>8.587587110419946</v>
      </c>
      <c r="Q53" s="1201">
        <f t="shared" si="6"/>
        <v>85.87587110419946</v>
      </c>
    </row>
    <row r="54" spans="1:17" ht="15" customHeight="1">
      <c r="A54" s="1176">
        <v>23500</v>
      </c>
      <c r="B54" s="1220">
        <v>7162.801954012374</v>
      </c>
      <c r="C54" s="1224">
        <v>11.849877052271005</v>
      </c>
      <c r="D54" s="421">
        <v>300.9868755435421</v>
      </c>
      <c r="E54" s="1197">
        <v>5.820135688141966</v>
      </c>
      <c r="F54" s="1205">
        <v>0.4092233401304501</v>
      </c>
      <c r="G54" s="1206">
        <f t="shared" si="7"/>
        <v>40128.283111117635</v>
      </c>
      <c r="H54" s="1206">
        <f t="shared" si="8"/>
        <v>40.12828311111763</v>
      </c>
      <c r="I54" s="1201">
        <v>401.28283111117634</v>
      </c>
      <c r="K54" s="1224">
        <f t="shared" si="0"/>
        <v>2.481956748598162</v>
      </c>
      <c r="L54" s="1182">
        <f t="shared" si="1"/>
        <v>63.0417010825949</v>
      </c>
      <c r="M54" s="1199">
        <f t="shared" si="2"/>
        <v>1.219027419881335</v>
      </c>
      <c r="N54" s="1205">
        <f t="shared" si="3"/>
        <v>0.08571182859032277</v>
      </c>
      <c r="O54" s="1206">
        <f t="shared" si="4"/>
        <v>8404.868897623588</v>
      </c>
      <c r="P54" s="1314">
        <f t="shared" si="5"/>
        <v>8.404868897623588</v>
      </c>
      <c r="Q54" s="1201">
        <f t="shared" si="6"/>
        <v>84.04868897623588</v>
      </c>
    </row>
    <row r="55" spans="1:17" ht="15" customHeight="1">
      <c r="A55" s="1176">
        <v>24000</v>
      </c>
      <c r="B55" s="1220">
        <v>7315.201995587106</v>
      </c>
      <c r="C55" s="1224">
        <v>11.59672225862577</v>
      </c>
      <c r="D55" s="421">
        <v>294.5567438187959</v>
      </c>
      <c r="E55" s="1197">
        <v>5.6957972462645055</v>
      </c>
      <c r="F55" s="1205">
        <v>0.40048089919468666</v>
      </c>
      <c r="G55" s="1206">
        <f t="shared" si="7"/>
        <v>39271.002720315126</v>
      </c>
      <c r="H55" s="1206">
        <f t="shared" si="8"/>
        <v>39.271002720315124</v>
      </c>
      <c r="I55" s="1201">
        <v>392.71002720315124</v>
      </c>
      <c r="K55" s="1224">
        <f t="shared" si="0"/>
        <v>2.4289334770691675</v>
      </c>
      <c r="L55" s="1182">
        <f t="shared" si="1"/>
        <v>61.694909992846796</v>
      </c>
      <c r="M55" s="1199">
        <f t="shared" si="2"/>
        <v>1.1929847332301007</v>
      </c>
      <c r="N55" s="1205">
        <f t="shared" si="3"/>
        <v>0.08388072433632712</v>
      </c>
      <c r="O55" s="1206">
        <f t="shared" si="4"/>
        <v>8225.311519770003</v>
      </c>
      <c r="P55" s="1314">
        <f t="shared" si="5"/>
        <v>8.225311519770003</v>
      </c>
      <c r="Q55" s="1201">
        <f t="shared" si="6"/>
        <v>82.25311519770003</v>
      </c>
    </row>
    <row r="56" spans="1:17" ht="15" customHeight="1">
      <c r="A56" s="1176">
        <v>24500</v>
      </c>
      <c r="B56" s="1221">
        <v>7467.602037161837</v>
      </c>
      <c r="C56" s="1224">
        <v>11.34796465231226</v>
      </c>
      <c r="D56" s="421">
        <v>288.2383006516877</v>
      </c>
      <c r="E56" s="1197">
        <v>5.573618508391056</v>
      </c>
      <c r="F56" s="1205">
        <v>0.39189031060972235</v>
      </c>
      <c r="G56" s="1206">
        <f t="shared" si="7"/>
        <v>38428.61291254245</v>
      </c>
      <c r="H56" s="1206">
        <f t="shared" si="8"/>
        <v>38.42861291254245</v>
      </c>
      <c r="I56" s="1201">
        <v>384.2861291254245</v>
      </c>
      <c r="K56" s="1224">
        <f t="shared" si="0"/>
        <v>2.376831196426803</v>
      </c>
      <c r="L56" s="1182">
        <f t="shared" si="1"/>
        <v>60.37151207149599</v>
      </c>
      <c r="M56" s="1199">
        <f t="shared" si="2"/>
        <v>1.1673943965825067</v>
      </c>
      <c r="N56" s="1205">
        <f t="shared" si="3"/>
        <v>0.08208142555720635</v>
      </c>
      <c r="O56" s="1206">
        <f t="shared" si="4"/>
        <v>8048.872974532016</v>
      </c>
      <c r="P56" s="1314">
        <f t="shared" si="5"/>
        <v>8.048872974532015</v>
      </c>
      <c r="Q56" s="1201">
        <f t="shared" si="6"/>
        <v>80.48872974532016</v>
      </c>
    </row>
    <row r="57" spans="1:17" ht="15" customHeight="1">
      <c r="A57" s="1177">
        <v>25000</v>
      </c>
      <c r="B57" s="1222">
        <v>7620.002078736568</v>
      </c>
      <c r="C57" s="1225">
        <v>11.103545562450465</v>
      </c>
      <c r="D57" s="427">
        <v>282.0300558018731</v>
      </c>
      <c r="E57" s="1198">
        <v>5.453570657979378</v>
      </c>
      <c r="F57" s="1207">
        <v>0.3834495482369415</v>
      </c>
      <c r="G57" s="1208">
        <f t="shared" si="7"/>
        <v>37600.91500542736</v>
      </c>
      <c r="H57" s="1208">
        <f t="shared" si="8"/>
        <v>37.60091500542736</v>
      </c>
      <c r="I57" s="1202">
        <v>376.0091500542736</v>
      </c>
      <c r="K57" s="1225">
        <f t="shared" si="0"/>
        <v>2.32563761805525</v>
      </c>
      <c r="L57" s="1184">
        <f t="shared" si="1"/>
        <v>59.07119518770232</v>
      </c>
      <c r="M57" s="1198">
        <f t="shared" si="2"/>
        <v>1.1422503743137806</v>
      </c>
      <c r="N57" s="1207">
        <f t="shared" si="3"/>
        <v>0.0803135078782274</v>
      </c>
      <c r="O57" s="1208">
        <f t="shared" si="4"/>
        <v>7875.511647886761</v>
      </c>
      <c r="P57" s="1315">
        <f t="shared" si="5"/>
        <v>7.875511647886761</v>
      </c>
      <c r="Q57" s="1202">
        <f t="shared" si="6"/>
        <v>78.7551164788676</v>
      </c>
    </row>
    <row r="58" spans="1:17" ht="15" customHeight="1">
      <c r="A58" s="1178">
        <v>25500</v>
      </c>
      <c r="B58" s="1219">
        <v>7772.4021203113</v>
      </c>
      <c r="C58" s="1223">
        <v>10.86340686279457</v>
      </c>
      <c r="D58" s="421">
        <v>275.9305328627161</v>
      </c>
      <c r="E58" s="1197">
        <v>5.335625145987468</v>
      </c>
      <c r="F58" s="1205">
        <v>0.3751566047461113</v>
      </c>
      <c r="G58" s="1206">
        <f t="shared" si="7"/>
        <v>36787.712160940406</v>
      </c>
      <c r="H58" s="1206">
        <f t="shared" si="8"/>
        <v>36.78771216094041</v>
      </c>
      <c r="I58" s="1200">
        <v>367.87712160940407</v>
      </c>
      <c r="K58" s="1226">
        <f t="shared" si="0"/>
        <v>2.2753405674123224</v>
      </c>
      <c r="L58" s="1182">
        <f t="shared" si="1"/>
        <v>57.79365010809589</v>
      </c>
      <c r="M58" s="1199">
        <f t="shared" si="2"/>
        <v>1.1175466868270751</v>
      </c>
      <c r="N58" s="1205">
        <f t="shared" si="3"/>
        <v>0.078576550864073</v>
      </c>
      <c r="O58" s="1206">
        <f t="shared" si="4"/>
        <v>7705.186312108968</v>
      </c>
      <c r="P58" s="1314">
        <f t="shared" si="5"/>
        <v>7.705186312108968</v>
      </c>
      <c r="Q58" s="1201">
        <f t="shared" si="6"/>
        <v>77.05186312108968</v>
      </c>
    </row>
    <row r="59" spans="1:17" ht="15" customHeight="1">
      <c r="A59" s="1176">
        <v>26000</v>
      </c>
      <c r="B59" s="1220">
        <v>7924.80216188603</v>
      </c>
      <c r="C59" s="1224">
        <v>10.627490968906644</v>
      </c>
      <c r="D59" s="421">
        <v>269.93826918950106</v>
      </c>
      <c r="E59" s="1197">
        <v>5.219753689485404</v>
      </c>
      <c r="F59" s="1205">
        <v>0.36700949151777823</v>
      </c>
      <c r="G59" s="1206">
        <f t="shared" si="7"/>
        <v>35988.80937582394</v>
      </c>
      <c r="H59" s="1206">
        <f t="shared" si="8"/>
        <v>35.98880937582394</v>
      </c>
      <c r="I59" s="1201">
        <v>359.8880937582394</v>
      </c>
      <c r="K59" s="1224">
        <f t="shared" si="0"/>
        <v>2.2259279834374963</v>
      </c>
      <c r="L59" s="1182">
        <f t="shared" si="1"/>
        <v>56.538570481741</v>
      </c>
      <c r="M59" s="1199">
        <f t="shared" si="2"/>
        <v>1.0932774102627179</v>
      </c>
      <c r="N59" s="1205">
        <f t="shared" si="3"/>
        <v>0.07687013799839865</v>
      </c>
      <c r="O59" s="1206">
        <f t="shared" si="4"/>
        <v>7537.856123766324</v>
      </c>
      <c r="P59" s="1314">
        <f t="shared" si="5"/>
        <v>7.537856123766324</v>
      </c>
      <c r="Q59" s="1201">
        <f t="shared" si="6"/>
        <v>75.37856123766323</v>
      </c>
    </row>
    <row r="60" spans="1:17" ht="15" customHeight="1">
      <c r="A60" s="1176">
        <v>26500</v>
      </c>
      <c r="B60" s="1220">
        <v>8077.202203460762</v>
      </c>
      <c r="C60" s="1224">
        <v>10.395740835333374</v>
      </c>
      <c r="D60" s="421">
        <v>264.0518158277213</v>
      </c>
      <c r="E60" s="1197">
        <v>5.105928270268674</v>
      </c>
      <c r="F60" s="1205">
        <v>0.359006238545769</v>
      </c>
      <c r="G60" s="1206">
        <f t="shared" si="7"/>
        <v>35204.013472031394</v>
      </c>
      <c r="H60" s="1206">
        <f t="shared" si="8"/>
        <v>35.20401347203139</v>
      </c>
      <c r="I60" s="1201">
        <v>352.040134720314</v>
      </c>
      <c r="K60" s="1224">
        <f t="shared" si="0"/>
        <v>2.177387917960575</v>
      </c>
      <c r="L60" s="1182">
        <f t="shared" si="1"/>
        <v>55.30565282511623</v>
      </c>
      <c r="M60" s="1199">
        <f t="shared" si="2"/>
        <v>1.0694366762077736</v>
      </c>
      <c r="N60" s="1205">
        <f t="shared" si="3"/>
        <v>0.07519385666341132</v>
      </c>
      <c r="O60" s="1206">
        <f t="shared" si="4"/>
        <v>7373.480621716975</v>
      </c>
      <c r="P60" s="1314">
        <f t="shared" si="5"/>
        <v>7.373480621716975</v>
      </c>
      <c r="Q60" s="1201">
        <f t="shared" si="6"/>
        <v>73.73480621716976</v>
      </c>
    </row>
    <row r="61" spans="1:17" ht="15" customHeight="1">
      <c r="A61" s="1176">
        <v>27000</v>
      </c>
      <c r="B61" s="1221">
        <v>8229.602245035494</v>
      </c>
      <c r="C61" s="1224">
        <v>10.168099952785859</v>
      </c>
      <c r="D61" s="421">
        <v>258.2697374414464</v>
      </c>
      <c r="E61" s="1197">
        <v>4.994121133473022</v>
      </c>
      <c r="F61" s="1205">
        <v>0.3511448943397982</v>
      </c>
      <c r="G61" s="1206">
        <f t="shared" si="7"/>
        <v>34433.13308717705</v>
      </c>
      <c r="H61" s="1206">
        <f t="shared" si="8"/>
        <v>34.43313308717705</v>
      </c>
      <c r="I61" s="1201">
        <v>344.3313308717705</v>
      </c>
      <c r="K61" s="1224">
        <f t="shared" si="0"/>
        <v>2.129708535110998</v>
      </c>
      <c r="L61" s="1182">
        <f t="shared" si="1"/>
        <v>54.09459650711095</v>
      </c>
      <c r="M61" s="1199">
        <f t="shared" si="2"/>
        <v>1.0460186714059243</v>
      </c>
      <c r="N61" s="1205">
        <f t="shared" si="3"/>
        <v>0.07354729811947072</v>
      </c>
      <c r="O61" s="1206">
        <f t="shared" si="4"/>
        <v>7212.019725109232</v>
      </c>
      <c r="P61" s="1314">
        <f t="shared" si="5"/>
        <v>7.212019725109233</v>
      </c>
      <c r="Q61" s="1201">
        <f t="shared" si="6"/>
        <v>72.12019725109232</v>
      </c>
    </row>
    <row r="62" spans="1:17" ht="15" customHeight="1">
      <c r="A62" s="1177">
        <v>27500</v>
      </c>
      <c r="B62" s="1222">
        <v>8382.002286610224</v>
      </c>
      <c r="C62" s="1225">
        <v>9.944512345322295</v>
      </c>
      <c r="D62" s="427">
        <v>252.59061224176202</v>
      </c>
      <c r="E62" s="1198">
        <v>4.884304786190703</v>
      </c>
      <c r="F62" s="1207">
        <v>0.34342352582817465</v>
      </c>
      <c r="G62" s="1208">
        <f t="shared" si="7"/>
        <v>33675.97866499544</v>
      </c>
      <c r="H62" s="1208">
        <f t="shared" si="8"/>
        <v>33.67597866499544</v>
      </c>
      <c r="I62" s="1202">
        <v>336.75978664995444</v>
      </c>
      <c r="K62" s="1225">
        <f t="shared" si="0"/>
        <v>2.0828781107277545</v>
      </c>
      <c r="L62" s="1184">
        <f t="shared" si="1"/>
        <v>52.905103734037056</v>
      </c>
      <c r="M62" s="1198">
        <f t="shared" si="2"/>
        <v>1.0230176374676427</v>
      </c>
      <c r="N62" s="1207">
        <f t="shared" si="3"/>
        <v>0.07193005748471118</v>
      </c>
      <c r="O62" s="1208">
        <f t="shared" si="4"/>
        <v>7053.433731383295</v>
      </c>
      <c r="P62" s="1315">
        <f t="shared" si="5"/>
        <v>7.053433731383295</v>
      </c>
      <c r="Q62" s="1202">
        <f t="shared" si="6"/>
        <v>70.53433731383295</v>
      </c>
    </row>
    <row r="63" spans="1:17" ht="15" customHeight="1">
      <c r="A63" s="1178">
        <v>28000</v>
      </c>
      <c r="B63" s="1219">
        <v>8534.402328184957</v>
      </c>
      <c r="C63" s="1223">
        <v>9.724922567533818</v>
      </c>
      <c r="D63" s="421">
        <v>247.0130319152904</v>
      </c>
      <c r="E63" s="1197">
        <v>4.7764519960883</v>
      </c>
      <c r="F63" s="1205">
        <v>0.3358402182606179</v>
      </c>
      <c r="G63" s="1206">
        <f t="shared" si="7"/>
        <v>32932.36244581158</v>
      </c>
      <c r="H63" s="1206">
        <f t="shared" si="8"/>
        <v>32.932362445811584</v>
      </c>
      <c r="I63" s="1200">
        <v>329.32362445811583</v>
      </c>
      <c r="K63" s="1226">
        <f t="shared" si="0"/>
        <v>2.036885031769958</v>
      </c>
      <c r="L63" s="1182">
        <f t="shared" si="1"/>
        <v>51.736879534657575</v>
      </c>
      <c r="M63" s="1199">
        <f t="shared" si="2"/>
        <v>1.0004278705806944</v>
      </c>
      <c r="N63" s="1205">
        <f t="shared" si="3"/>
        <v>0.07034173371468641</v>
      </c>
      <c r="O63" s="1206">
        <f t="shared" si="4"/>
        <v>6897.683314275236</v>
      </c>
      <c r="P63" s="1314">
        <f t="shared" si="5"/>
        <v>6.897683314275236</v>
      </c>
      <c r="Q63" s="1201">
        <f t="shared" si="6"/>
        <v>68.97683314275235</v>
      </c>
    </row>
    <row r="64" spans="1:17" ht="15" customHeight="1">
      <c r="A64" s="1176">
        <v>28500</v>
      </c>
      <c r="B64" s="1220">
        <v>8686.802369759687</v>
      </c>
      <c r="C64" s="1224">
        <v>9.509275701733321</v>
      </c>
      <c r="D64" s="421">
        <v>241.53560155278635</v>
      </c>
      <c r="E64" s="1197">
        <v>4.670535790025984</v>
      </c>
      <c r="F64" s="1205">
        <v>0.32839307511117655</v>
      </c>
      <c r="G64" s="1206">
        <f t="shared" si="7"/>
        <v>32202.09845702116</v>
      </c>
      <c r="H64" s="1206">
        <f t="shared" si="8"/>
        <v>32.20209845702116</v>
      </c>
      <c r="I64" s="1201">
        <v>322.02098457021157</v>
      </c>
      <c r="K64" s="1224">
        <f t="shared" si="0"/>
        <v>1.991717795728044</v>
      </c>
      <c r="L64" s="1182">
        <f t="shared" si="1"/>
        <v>50.5896317452311</v>
      </c>
      <c r="M64" s="1199">
        <f t="shared" si="2"/>
        <v>0.9782437212209424</v>
      </c>
      <c r="N64" s="1205">
        <f t="shared" si="3"/>
        <v>0.06878192958203592</v>
      </c>
      <c r="O64" s="1206">
        <f t="shared" si="4"/>
        <v>6744.729521823082</v>
      </c>
      <c r="P64" s="1314">
        <f t="shared" si="5"/>
        <v>6.744729521823081</v>
      </c>
      <c r="Q64" s="1201">
        <f t="shared" si="6"/>
        <v>67.4472952182308</v>
      </c>
    </row>
    <row r="65" spans="1:17" ht="15" customHeight="1">
      <c r="A65" s="1176">
        <v>29000</v>
      </c>
      <c r="B65" s="1220">
        <v>8839.20241133442</v>
      </c>
      <c r="C65" s="1224">
        <v>9.29751735514735</v>
      </c>
      <c r="D65" s="421">
        <v>236.15693957781147</v>
      </c>
      <c r="E65" s="1197">
        <v>4.566529452678312</v>
      </c>
      <c r="F65" s="1205">
        <v>0.3210802179812534</v>
      </c>
      <c r="G65" s="1206">
        <f t="shared" si="7"/>
        <v>31485.002503581243</v>
      </c>
      <c r="H65" s="1206">
        <f t="shared" si="8"/>
        <v>31.485002503581242</v>
      </c>
      <c r="I65" s="1201">
        <v>314.85002503581245</v>
      </c>
      <c r="K65" s="1224">
        <f t="shared" si="0"/>
        <v>1.9473650100356126</v>
      </c>
      <c r="L65" s="1182">
        <f t="shared" si="1"/>
        <v>49.46307099457261</v>
      </c>
      <c r="M65" s="1199">
        <f t="shared" si="2"/>
        <v>0.9564595938634723</v>
      </c>
      <c r="N65" s="1205">
        <f t="shared" si="3"/>
        <v>0.06725025165617353</v>
      </c>
      <c r="O65" s="1206">
        <f t="shared" si="4"/>
        <v>6594.5337743750915</v>
      </c>
      <c r="P65" s="1314">
        <f t="shared" si="5"/>
        <v>6.594533774375091</v>
      </c>
      <c r="Q65" s="1201">
        <f t="shared" si="6"/>
        <v>65.94533774375091</v>
      </c>
    </row>
    <row r="66" spans="1:17" ht="15" customHeight="1">
      <c r="A66" s="1176">
        <v>29500</v>
      </c>
      <c r="B66" s="1221">
        <v>8991.60245290915</v>
      </c>
      <c r="C66" s="1224">
        <v>9.089593657110957</v>
      </c>
      <c r="D66" s="421">
        <v>230.87567767548316</v>
      </c>
      <c r="E66" s="1197">
        <v>4.4644065251564475</v>
      </c>
      <c r="F66" s="1205">
        <v>0.3138997865027326</v>
      </c>
      <c r="G66" s="1206">
        <f t="shared" si="7"/>
        <v>30780.89215851096</v>
      </c>
      <c r="H66" s="1206">
        <f t="shared" si="8"/>
        <v>30.78089215851096</v>
      </c>
      <c r="I66" s="1201">
        <v>307.8089215851096</v>
      </c>
      <c r="K66" s="1224">
        <f t="shared" si="0"/>
        <v>1.9038153914818898</v>
      </c>
      <c r="L66" s="1182">
        <f t="shared" si="1"/>
        <v>48.35691068912995</v>
      </c>
      <c r="M66" s="1199">
        <f t="shared" si="2"/>
        <v>0.9350699466940179</v>
      </c>
      <c r="N66" s="1205">
        <f t="shared" si="3"/>
        <v>0.06574631028299734</v>
      </c>
      <c r="O66" s="1206">
        <f t="shared" si="4"/>
        <v>6447.057862600121</v>
      </c>
      <c r="P66" s="1314">
        <f t="shared" si="5"/>
        <v>6.44705786260012</v>
      </c>
      <c r="Q66" s="1201">
        <f t="shared" si="6"/>
        <v>64.4705786260012</v>
      </c>
    </row>
    <row r="67" spans="1:17" ht="15" customHeight="1">
      <c r="A67" s="1177">
        <v>30000</v>
      </c>
      <c r="B67" s="1222">
        <v>9144.002494483882</v>
      </c>
      <c r="C67" s="1225">
        <v>8.885451256265807</v>
      </c>
      <c r="D67" s="427">
        <v>225.69046072130698</v>
      </c>
      <c r="E67" s="1198">
        <v>4.364140803632009</v>
      </c>
      <c r="F67" s="1207">
        <v>0.3068499382412191</v>
      </c>
      <c r="G67" s="1208">
        <f t="shared" si="7"/>
        <v>30089.586753403193</v>
      </c>
      <c r="H67" s="1208">
        <f t="shared" si="8"/>
        <v>30.089586753403193</v>
      </c>
      <c r="I67" s="1202">
        <v>300.89586753403194</v>
      </c>
      <c r="K67" s="1225">
        <f t="shared" si="0"/>
        <v>1.8610577656248732</v>
      </c>
      <c r="L67" s="1184">
        <f t="shared" si="1"/>
        <v>47.27086699807774</v>
      </c>
      <c r="M67" s="1198">
        <f t="shared" si="2"/>
        <v>0.9140692913207242</v>
      </c>
      <c r="N67" s="1207">
        <f t="shared" si="3"/>
        <v>0.06426971956462334</v>
      </c>
      <c r="O67" s="1208">
        <f t="shared" si="4"/>
        <v>6302.263945500299</v>
      </c>
      <c r="P67" s="1315">
        <f t="shared" si="5"/>
        <v>6.3022639455002984</v>
      </c>
      <c r="Q67" s="1202">
        <f t="shared" si="6"/>
        <v>63.02263945500299</v>
      </c>
    </row>
    <row r="68" spans="1:17" ht="15" customHeight="1">
      <c r="A68" s="1178">
        <v>30500</v>
      </c>
      <c r="B68" s="1219">
        <v>9296.402536058613</v>
      </c>
      <c r="C68" s="1223">
        <v>8.685037317761187</v>
      </c>
      <c r="D68" s="421">
        <v>220.59994671008184</v>
      </c>
      <c r="E68" s="1197">
        <v>4.265706337962318</v>
      </c>
      <c r="F68" s="1205">
        <v>0.2999288485993784</v>
      </c>
      <c r="G68" s="1206">
        <f t="shared" si="7"/>
        <v>29410.907368946107</v>
      </c>
      <c r="H68" s="1206">
        <f t="shared" si="8"/>
        <v>29.41090736894611</v>
      </c>
      <c r="I68" s="1200">
        <v>294.10907368946107</v>
      </c>
      <c r="K68" s="1226">
        <f t="shared" si="0"/>
        <v>1.8190810662050807</v>
      </c>
      <c r="L68" s="1182">
        <f t="shared" si="1"/>
        <v>46.20465883842664</v>
      </c>
      <c r="M68" s="1199">
        <f t="shared" si="2"/>
        <v>0.8934521924862076</v>
      </c>
      <c r="N68" s="1205">
        <f t="shared" si="3"/>
        <v>0.0628200973391398</v>
      </c>
      <c r="O68" s="1206">
        <f t="shared" si="4"/>
        <v>6160.114548425762</v>
      </c>
      <c r="P68" s="1314">
        <f t="shared" si="5"/>
        <v>6.160114548425763</v>
      </c>
      <c r="Q68" s="1201">
        <f t="shared" si="6"/>
        <v>61.60114548425762</v>
      </c>
    </row>
    <row r="69" spans="1:17" ht="15" customHeight="1">
      <c r="A69" s="1176">
        <v>31000</v>
      </c>
      <c r="B69" s="1220">
        <v>9448.802577633345</v>
      </c>
      <c r="C69" s="1224">
        <v>8.48829952045821</v>
      </c>
      <c r="D69" s="421">
        <v>215.60280668488693</v>
      </c>
      <c r="E69" s="1197">
        <v>4.169077430317234</v>
      </c>
      <c r="F69" s="1205">
        <v>0.29313471072038644</v>
      </c>
      <c r="G69" s="1206">
        <f t="shared" si="7"/>
        <v>28744.676825455485</v>
      </c>
      <c r="H69" s="1206">
        <f t="shared" si="8"/>
        <v>28.744676825455485</v>
      </c>
      <c r="I69" s="1201">
        <v>287.44676825455485</v>
      </c>
      <c r="K69" s="1224">
        <f t="shared" si="0"/>
        <v>1.777874334559972</v>
      </c>
      <c r="L69" s="1182">
        <f t="shared" si="1"/>
        <v>45.15800786014957</v>
      </c>
      <c r="M69" s="1199">
        <f t="shared" si="2"/>
        <v>0.8732132677799447</v>
      </c>
      <c r="N69" s="1205">
        <f t="shared" si="3"/>
        <v>0.061397065160384935</v>
      </c>
      <c r="O69" s="1206">
        <f t="shared" si="4"/>
        <v>6020.572561091652</v>
      </c>
      <c r="P69" s="1314">
        <f t="shared" si="5"/>
        <v>6.020572561091651</v>
      </c>
      <c r="Q69" s="1201">
        <f t="shared" si="6"/>
        <v>60.20572561091652</v>
      </c>
    </row>
    <row r="70" spans="1:17" ht="15" customHeight="1">
      <c r="A70" s="1176">
        <v>31500</v>
      </c>
      <c r="B70" s="1220">
        <v>9601.202619208076</v>
      </c>
      <c r="C70" s="1224">
        <v>8.29518605413702</v>
      </c>
      <c r="D70" s="421">
        <v>210.69772466614492</v>
      </c>
      <c r="E70" s="1197">
        <v>4.074228633807454</v>
      </c>
      <c r="F70" s="1205">
        <v>0.2864657353914836</v>
      </c>
      <c r="G70" s="1206">
        <f t="shared" si="7"/>
        <v>28090.719673417283</v>
      </c>
      <c r="H70" s="1206">
        <f t="shared" si="8"/>
        <v>28.090719673417283</v>
      </c>
      <c r="I70" s="1201">
        <v>280.9071967341728</v>
      </c>
      <c r="K70" s="1224">
        <f t="shared" si="0"/>
        <v>1.7374267190389987</v>
      </c>
      <c r="L70" s="1182">
        <f t="shared" si="1"/>
        <v>44.13063843132405</v>
      </c>
      <c r="M70" s="1199">
        <f t="shared" si="2"/>
        <v>0.8533471873509713</v>
      </c>
      <c r="N70" s="1205">
        <f t="shared" si="3"/>
        <v>0.06000024827774624</v>
      </c>
      <c r="O70" s="1206">
        <f t="shared" si="4"/>
        <v>5883.60123559725</v>
      </c>
      <c r="P70" s="1314">
        <f t="shared" si="5"/>
        <v>5.88360123559725</v>
      </c>
      <c r="Q70" s="1201">
        <f t="shared" si="6"/>
        <v>58.8360123559725</v>
      </c>
    </row>
    <row r="71" spans="1:17" ht="15" customHeight="1">
      <c r="A71" s="1176">
        <v>32000</v>
      </c>
      <c r="B71" s="1221">
        <v>9753.602660782806</v>
      </c>
      <c r="C71" s="1224">
        <v>8.105645616707225</v>
      </c>
      <c r="D71" s="421">
        <v>205.88339758076668</v>
      </c>
      <c r="E71" s="1197">
        <v>3.981134751114404</v>
      </c>
      <c r="F71" s="1205">
        <v>0.2799201509476398</v>
      </c>
      <c r="G71" s="1206">
        <f t="shared" si="7"/>
        <v>27448.862184041034</v>
      </c>
      <c r="H71" s="1206">
        <f t="shared" si="8"/>
        <v>27.448862184041033</v>
      </c>
      <c r="I71" s="1201">
        <v>274.48862184041036</v>
      </c>
      <c r="K71" s="1224">
        <f aca="true" t="shared" si="9" ref="K71:K134">C71*$S$7</f>
        <v>1.6977274744193283</v>
      </c>
      <c r="L71" s="1182">
        <f aca="true" t="shared" si="10" ref="L71:L134">D71*$S$7</f>
        <v>43.12227762329158</v>
      </c>
      <c r="M71" s="1199">
        <f aca="true" t="shared" si="11" ref="M71:M134">E71*$S$7</f>
        <v>0.8338486736209119</v>
      </c>
      <c r="N71" s="1205">
        <f aca="true" t="shared" si="12" ref="N71:N134">F71*$S$7</f>
        <v>0.05862927561598315</v>
      </c>
      <c r="O71" s="1206">
        <f aca="true" t="shared" si="13" ref="O71:O134">G71*$S$7</f>
        <v>5749.164184447394</v>
      </c>
      <c r="P71" s="1314">
        <f aca="true" t="shared" si="14" ref="P71:P134">H71*$S$7</f>
        <v>5.749164184447395</v>
      </c>
      <c r="Q71" s="1201">
        <f aca="true" t="shared" si="15" ref="Q71:Q134">I71*$S$7</f>
        <v>57.491641844473946</v>
      </c>
    </row>
    <row r="72" spans="1:17" ht="15" customHeight="1">
      <c r="A72" s="1177">
        <v>32500</v>
      </c>
      <c r="B72" s="1222">
        <v>9906.002702357539</v>
      </c>
      <c r="C72" s="1225">
        <v>7.919627411421343</v>
      </c>
      <c r="D72" s="427">
        <v>201.158535191373</v>
      </c>
      <c r="E72" s="1198">
        <v>3.889770833121602</v>
      </c>
      <c r="F72" s="1207">
        <v>0.27349620317532336</v>
      </c>
      <c r="G72" s="1208">
        <f aca="true" t="shared" si="16" ref="G72:G135">I72*100</f>
        <v>26818.93233982351</v>
      </c>
      <c r="H72" s="1208">
        <f aca="true" t="shared" si="17" ref="H72:H135">G72/1000</f>
        <v>26.81893233982351</v>
      </c>
      <c r="I72" s="1202">
        <v>268.1893233982351</v>
      </c>
      <c r="K72" s="1225">
        <f t="shared" si="9"/>
        <v>1.6587659613222003</v>
      </c>
      <c r="L72" s="1184">
        <f t="shared" si="10"/>
        <v>42.132655195833074</v>
      </c>
      <c r="M72" s="1198">
        <f t="shared" si="11"/>
        <v>0.8147125009973195</v>
      </c>
      <c r="N72" s="1207">
        <f t="shared" si="12"/>
        <v>0.05728377975507148</v>
      </c>
      <c r="O72" s="1208">
        <f t="shared" si="13"/>
        <v>5617.225378576034</v>
      </c>
      <c r="P72" s="1315">
        <f t="shared" si="14"/>
        <v>5.617225378576035</v>
      </c>
      <c r="Q72" s="1202">
        <f t="shared" si="15"/>
        <v>56.17225378576034</v>
      </c>
    </row>
    <row r="73" spans="1:17" ht="15" customHeight="1">
      <c r="A73" s="1178">
        <v>33000</v>
      </c>
      <c r="B73" s="1219">
        <v>10058.402743932269</v>
      </c>
      <c r="C73" s="1223">
        <v>7.737081144091431</v>
      </c>
      <c r="D73" s="421">
        <v>196.5218600255968</v>
      </c>
      <c r="E73" s="1197">
        <v>3.800112177547592</v>
      </c>
      <c r="F73" s="1205">
        <v>0.2671921552163805</v>
      </c>
      <c r="G73" s="1206">
        <f t="shared" si="16"/>
        <v>26200.75982512315</v>
      </c>
      <c r="H73" s="1206">
        <f t="shared" si="17"/>
        <v>26.20075982512315</v>
      </c>
      <c r="I73" s="1200">
        <v>262.0075982512315</v>
      </c>
      <c r="K73" s="1226">
        <f t="shared" si="9"/>
        <v>1.6205316456299503</v>
      </c>
      <c r="L73" s="1182">
        <f t="shared" si="10"/>
        <v>41.16150358236125</v>
      </c>
      <c r="M73" s="1199">
        <f t="shared" si="11"/>
        <v>0.7959334955873432</v>
      </c>
      <c r="N73" s="1205">
        <f t="shared" si="12"/>
        <v>0.0559633969100709</v>
      </c>
      <c r="O73" s="1206">
        <f t="shared" si="13"/>
        <v>5487.749145372044</v>
      </c>
      <c r="P73" s="1314">
        <f t="shared" si="14"/>
        <v>5.487749145372043</v>
      </c>
      <c r="Q73" s="1201">
        <f t="shared" si="15"/>
        <v>54.87749145372044</v>
      </c>
    </row>
    <row r="74" spans="1:17" ht="15" customHeight="1">
      <c r="A74" s="1176">
        <v>33500</v>
      </c>
      <c r="B74" s="1220">
        <v>10210.802785507001</v>
      </c>
      <c r="C74" s="1224">
        <v>7.557957020308807</v>
      </c>
      <c r="D74" s="421">
        <v>191.9721073054642</v>
      </c>
      <c r="E74" s="1197">
        <v>3.712134327580397</v>
      </c>
      <c r="F74" s="1205">
        <v>0.26100628747202126</v>
      </c>
      <c r="G74" s="1206">
        <f t="shared" si="16"/>
        <v>25594.176016744947</v>
      </c>
      <c r="H74" s="1206">
        <f t="shared" si="17"/>
        <v>25.594176016744946</v>
      </c>
      <c r="I74" s="1201">
        <v>255.94176016744947</v>
      </c>
      <c r="K74" s="1224">
        <f t="shared" si="9"/>
        <v>1.5830140979036795</v>
      </c>
      <c r="L74" s="1182">
        <f t="shared" si="10"/>
        <v>40.20855787512947</v>
      </c>
      <c r="M74" s="1199">
        <f t="shared" si="11"/>
        <v>0.7775065349117141</v>
      </c>
      <c r="N74" s="1205">
        <f t="shared" si="12"/>
        <v>0.05466776691101485</v>
      </c>
      <c r="O74" s="1206">
        <f t="shared" si="13"/>
        <v>5360.700166707229</v>
      </c>
      <c r="P74" s="1314">
        <f t="shared" si="14"/>
        <v>5.360700166707229</v>
      </c>
      <c r="Q74" s="1201">
        <f t="shared" si="15"/>
        <v>53.60700166707229</v>
      </c>
    </row>
    <row r="75" spans="1:17" ht="15" customHeight="1">
      <c r="A75" s="1176">
        <v>34000</v>
      </c>
      <c r="B75" s="1220">
        <v>10363.202827081732</v>
      </c>
      <c r="C75" s="1224">
        <v>7.382205742667003</v>
      </c>
      <c r="D75" s="421">
        <v>187.50802487685755</v>
      </c>
      <c r="E75" s="1197">
        <v>3.6258130705135505</v>
      </c>
      <c r="F75" s="1205">
        <v>0.254936897506917</v>
      </c>
      <c r="G75" s="1206">
        <f t="shared" si="16"/>
        <v>24999.013974536305</v>
      </c>
      <c r="H75" s="1206">
        <f t="shared" si="17"/>
        <v>24.999013974536304</v>
      </c>
      <c r="I75" s="1201">
        <v>249.99013974536305</v>
      </c>
      <c r="K75" s="1224">
        <f t="shared" si="9"/>
        <v>1.546202992801604</v>
      </c>
      <c r="L75" s="1182">
        <f t="shared" si="10"/>
        <v>39.273555810457815</v>
      </c>
      <c r="M75" s="1199">
        <f t="shared" si="11"/>
        <v>0.7594265476190631</v>
      </c>
      <c r="N75" s="1205">
        <f t="shared" si="12"/>
        <v>0.053396533182823766</v>
      </c>
      <c r="O75" s="1206">
        <f t="shared" si="13"/>
        <v>5236.043476966629</v>
      </c>
      <c r="P75" s="1314">
        <f t="shared" si="14"/>
        <v>5.236043476966628</v>
      </c>
      <c r="Q75" s="1201">
        <f t="shared" si="15"/>
        <v>52.36043476966629</v>
      </c>
    </row>
    <row r="76" spans="1:17" ht="15" customHeight="1">
      <c r="A76" s="1176">
        <v>34500</v>
      </c>
      <c r="B76" s="1221">
        <v>10515.602868656464</v>
      </c>
      <c r="C76" s="1224">
        <v>7.2097785079877434</v>
      </c>
      <c r="D76" s="421">
        <v>183.12837313905516</v>
      </c>
      <c r="E76" s="1197">
        <v>3.5411244363836243</v>
      </c>
      <c r="F76" s="1205">
        <v>0.24898229995340224</v>
      </c>
      <c r="G76" s="1206">
        <f t="shared" si="16"/>
        <v>24415.10843199311</v>
      </c>
      <c r="H76" s="1206">
        <f t="shared" si="17"/>
        <v>24.41510843199311</v>
      </c>
      <c r="I76" s="1201">
        <v>244.1510843199311</v>
      </c>
      <c r="K76" s="1224">
        <f t="shared" si="9"/>
        <v>1.5100881084980329</v>
      </c>
      <c r="L76" s="1182">
        <f t="shared" si="10"/>
        <v>38.3562377539751</v>
      </c>
      <c r="M76" s="1199">
        <f t="shared" si="11"/>
        <v>0.7416885132005501</v>
      </c>
      <c r="N76" s="1205">
        <f t="shared" si="12"/>
        <v>0.0521493427252401</v>
      </c>
      <c r="O76" s="1206">
        <f t="shared" si="13"/>
        <v>5113.744461080957</v>
      </c>
      <c r="P76" s="1314">
        <f t="shared" si="14"/>
        <v>5.113744461080957</v>
      </c>
      <c r="Q76" s="1201">
        <f t="shared" si="15"/>
        <v>51.13744461080957</v>
      </c>
    </row>
    <row r="77" spans="1:17" ht="15" customHeight="1">
      <c r="A77" s="1177">
        <v>35000</v>
      </c>
      <c r="B77" s="1222">
        <v>10668.002910231195</v>
      </c>
      <c r="C77" s="1225">
        <v>7.040627004550249</v>
      </c>
      <c r="D77" s="427">
        <v>178.83192497435567</v>
      </c>
      <c r="E77" s="1198">
        <v>3.4580446966093827</v>
      </c>
      <c r="F77" s="1207">
        <v>0.24314082641579177</v>
      </c>
      <c r="G77" s="1208">
        <f t="shared" si="16"/>
        <v>23842.29578687709</v>
      </c>
      <c r="H77" s="1208">
        <f t="shared" si="17"/>
        <v>23.84229578687709</v>
      </c>
      <c r="I77" s="1202">
        <v>238.4229578687709</v>
      </c>
      <c r="K77" s="1225">
        <f t="shared" si="9"/>
        <v>1.4746593261030496</v>
      </c>
      <c r="L77" s="1184">
        <f t="shared" si="10"/>
        <v>37.45634668587879</v>
      </c>
      <c r="M77" s="1198">
        <f t="shared" si="11"/>
        <v>0.7242874617048352</v>
      </c>
      <c r="N77" s="1207">
        <f t="shared" si="12"/>
        <v>0.05092584609278759</v>
      </c>
      <c r="O77" s="1208">
        <f t="shared" si="13"/>
        <v>4993.768852561407</v>
      </c>
      <c r="P77" s="1315">
        <f t="shared" si="14"/>
        <v>4.993768852561407</v>
      </c>
      <c r="Q77" s="1202">
        <f t="shared" si="15"/>
        <v>49.937688525614064</v>
      </c>
    </row>
    <row r="78" spans="1:17" ht="15" customHeight="1">
      <c r="A78" s="1176">
        <v>35500</v>
      </c>
      <c r="B78" s="1219">
        <v>10820.402951805927</v>
      </c>
      <c r="C78" s="1223">
        <v>6.874703409323556</v>
      </c>
      <c r="D78" s="421">
        <v>174.61746567777902</v>
      </c>
      <c r="E78" s="1197">
        <v>3.376550362632422</v>
      </c>
      <c r="F78" s="1205">
        <v>0.23741082537480143</v>
      </c>
      <c r="G78" s="1206">
        <f t="shared" si="16"/>
        <v>23280.41409184337</v>
      </c>
      <c r="H78" s="1206">
        <f t="shared" si="17"/>
        <v>23.28041409184337</v>
      </c>
      <c r="I78" s="1200">
        <v>232.8041409184337</v>
      </c>
      <c r="K78" s="1226">
        <f t="shared" si="9"/>
        <v>1.4399066290828186</v>
      </c>
      <c r="L78" s="1182">
        <f t="shared" si="10"/>
        <v>36.57362818621082</v>
      </c>
      <c r="M78" s="1199">
        <f t="shared" si="11"/>
        <v>0.7072184734533608</v>
      </c>
      <c r="N78" s="1205">
        <f t="shared" si="12"/>
        <v>0.04972569737475216</v>
      </c>
      <c r="O78" s="1206">
        <f t="shared" si="13"/>
        <v>4876.082731536594</v>
      </c>
      <c r="P78" s="1314">
        <f t="shared" si="14"/>
        <v>4.876082731536593</v>
      </c>
      <c r="Q78" s="1183">
        <f t="shared" si="15"/>
        <v>48.76082731536594</v>
      </c>
    </row>
    <row r="79" spans="1:17" ht="15" customHeight="1">
      <c r="A79" s="1176">
        <v>36000</v>
      </c>
      <c r="B79" s="1220">
        <v>10972.802993380657</v>
      </c>
      <c r="C79" s="1224">
        <v>6.711960385202199</v>
      </c>
      <c r="D79" s="421">
        <v>170.48379288685277</v>
      </c>
      <c r="E79" s="1197">
        <v>3.2966181845594575</v>
      </c>
      <c r="F79" s="1205">
        <v>0.2317906620920855</v>
      </c>
      <c r="G79" s="1206">
        <f t="shared" si="16"/>
        <v>22729.303045079418</v>
      </c>
      <c r="H79" s="1206">
        <f t="shared" si="17"/>
        <v>22.72930304507942</v>
      </c>
      <c r="I79" s="1201">
        <v>227.29303045079416</v>
      </c>
      <c r="K79" s="1224">
        <f t="shared" si="9"/>
        <v>1.4058201026806005</v>
      </c>
      <c r="L79" s="1182">
        <f t="shared" si="10"/>
        <v>35.70783042015131</v>
      </c>
      <c r="M79" s="1199">
        <f t="shared" si="11"/>
        <v>0.6904766787559784</v>
      </c>
      <c r="N79" s="1205">
        <f t="shared" si="12"/>
        <v>0.0485485541751873</v>
      </c>
      <c r="O79" s="1206">
        <f t="shared" si="13"/>
        <v>4760.652522791884</v>
      </c>
      <c r="P79" s="1314">
        <f t="shared" si="14"/>
        <v>4.760652522791884</v>
      </c>
      <c r="Q79" s="1183">
        <f t="shared" si="15"/>
        <v>47.60652522791884</v>
      </c>
    </row>
    <row r="80" spans="1:17" ht="15" customHeight="1">
      <c r="A80" s="1176">
        <v>36500</v>
      </c>
      <c r="B80" s="1220">
        <v>11125.20303495539</v>
      </c>
      <c r="C80" s="1224">
        <v>6.552519146138506</v>
      </c>
      <c r="D80" s="421">
        <v>166.43398543594972</v>
      </c>
      <c r="E80" s="1197">
        <v>3.2183076973246276</v>
      </c>
      <c r="F80" s="1205">
        <v>0.22628452256706166</v>
      </c>
      <c r="G80" s="1206">
        <f t="shared" si="16"/>
        <v>22189.3731240758</v>
      </c>
      <c r="H80" s="1206">
        <f t="shared" si="17"/>
        <v>22.1893731240758</v>
      </c>
      <c r="I80" s="1201">
        <v>221.89373124075797</v>
      </c>
      <c r="K80" s="1224">
        <f t="shared" si="9"/>
        <v>1.37242513515871</v>
      </c>
      <c r="L80" s="1182">
        <f t="shared" si="10"/>
        <v>34.85959824955967</v>
      </c>
      <c r="M80" s="1199">
        <f t="shared" si="11"/>
        <v>0.6740745472046432</v>
      </c>
      <c r="N80" s="1205">
        <f t="shared" si="12"/>
        <v>0.047395293251671064</v>
      </c>
      <c r="O80" s="1206">
        <f t="shared" si="13"/>
        <v>4647.564200837676</v>
      </c>
      <c r="P80" s="1314">
        <f t="shared" si="14"/>
        <v>4.647564200837676</v>
      </c>
      <c r="Q80" s="1183">
        <f t="shared" si="15"/>
        <v>46.47564200837676</v>
      </c>
    </row>
    <row r="81" spans="1:18" ht="15" customHeight="1">
      <c r="A81" s="1250">
        <v>37000</v>
      </c>
      <c r="B81" s="1251">
        <v>11277.60307653012</v>
      </c>
      <c r="C81" s="1252">
        <v>6.39692792242187</v>
      </c>
      <c r="D81" s="1253">
        <v>162.48196837434725</v>
      </c>
      <c r="E81" s="1254">
        <v>3.1418881674071146</v>
      </c>
      <c r="F81" s="1255">
        <v>0.22091133937001717</v>
      </c>
      <c r="G81" s="1256">
        <f t="shared" si="16"/>
        <v>21662.480849382548</v>
      </c>
      <c r="H81" s="1256">
        <f t="shared" si="17"/>
        <v>21.662480849382547</v>
      </c>
      <c r="I81" s="1257">
        <v>216.62480849382547</v>
      </c>
      <c r="J81" s="1262"/>
      <c r="K81" s="1252">
        <f t="shared" si="9"/>
        <v>1.3398365533512606</v>
      </c>
      <c r="L81" s="1258">
        <f t="shared" si="10"/>
        <v>34.03184827600703</v>
      </c>
      <c r="M81" s="1254">
        <f t="shared" si="11"/>
        <v>0.6580684766634202</v>
      </c>
      <c r="N81" s="1255">
        <f t="shared" si="12"/>
        <v>0.04626988003105009</v>
      </c>
      <c r="O81" s="1256">
        <f t="shared" si="13"/>
        <v>4537.206613903175</v>
      </c>
      <c r="P81" s="1316">
        <f t="shared" si="14"/>
        <v>4.537206613903175</v>
      </c>
      <c r="Q81" s="1257">
        <f t="shared" si="15"/>
        <v>45.372066139031745</v>
      </c>
      <c r="R81" s="1259"/>
    </row>
    <row r="82" spans="1:18" ht="15" customHeight="1">
      <c r="A82" s="1191">
        <v>37500</v>
      </c>
      <c r="B82" s="1249">
        <v>11430.003118104853</v>
      </c>
      <c r="C82" s="1225">
        <v>6.245031251648571</v>
      </c>
      <c r="D82" s="427">
        <v>158.62379295701166</v>
      </c>
      <c r="E82" s="1198">
        <v>3.067283238547688</v>
      </c>
      <c r="F82" s="1207">
        <v>0.21566574376642125</v>
      </c>
      <c r="G82" s="1208">
        <f t="shared" si="16"/>
        <v>21148.09976495948</v>
      </c>
      <c r="H82" s="1208">
        <f t="shared" si="17"/>
        <v>21.14809976495948</v>
      </c>
      <c r="I82" s="1202">
        <v>211.4809976495948</v>
      </c>
      <c r="K82" s="1225">
        <f t="shared" si="9"/>
        <v>1.3080217956577933</v>
      </c>
      <c r="L82" s="1184">
        <f t="shared" si="10"/>
        <v>33.22375343484609</v>
      </c>
      <c r="M82" s="1198">
        <f t="shared" si="11"/>
        <v>0.6424424743138133</v>
      </c>
      <c r="N82" s="1207">
        <f t="shared" si="12"/>
        <v>0.04517119003187693</v>
      </c>
      <c r="O82" s="1208">
        <f t="shared" si="13"/>
        <v>4429.4694957707625</v>
      </c>
      <c r="P82" s="1315">
        <f t="shared" si="14"/>
        <v>4.429469495770763</v>
      </c>
      <c r="Q82" s="1202">
        <f t="shared" si="15"/>
        <v>44.29469495770763</v>
      </c>
      <c r="R82" s="1192" t="s">
        <v>414</v>
      </c>
    </row>
    <row r="83" spans="1:18" ht="15" customHeight="1">
      <c r="A83" s="1178">
        <v>38000</v>
      </c>
      <c r="B83" s="1219">
        <v>11582.403159679583</v>
      </c>
      <c r="C83" s="1223">
        <v>6.096741405724924</v>
      </c>
      <c r="D83" s="421">
        <v>154.857230890375</v>
      </c>
      <c r="E83" s="1197">
        <v>2.994449822585462</v>
      </c>
      <c r="F83" s="1205">
        <v>0.2105447061566112</v>
      </c>
      <c r="G83" s="1206">
        <f t="shared" si="16"/>
        <v>20645.93278943059</v>
      </c>
      <c r="H83" s="1206">
        <f t="shared" si="17"/>
        <v>20.64593278943059</v>
      </c>
      <c r="I83" s="1200">
        <v>206.4593278943059</v>
      </c>
      <c r="K83" s="1226">
        <f t="shared" si="9"/>
        <v>1.2769624874290852</v>
      </c>
      <c r="L83" s="1182">
        <f t="shared" si="10"/>
        <v>32.43484700998904</v>
      </c>
      <c r="M83" s="1199">
        <f t="shared" si="11"/>
        <v>0.627187515340525</v>
      </c>
      <c r="N83" s="1205">
        <f t="shared" si="12"/>
        <v>0.044098588704502215</v>
      </c>
      <c r="O83" s="1206">
        <f t="shared" si="13"/>
        <v>4324.290622746237</v>
      </c>
      <c r="P83" s="1314">
        <f t="shared" si="14"/>
        <v>4.324290622746236</v>
      </c>
      <c r="Q83" s="1201">
        <f t="shared" si="15"/>
        <v>43.24290622746237</v>
      </c>
      <c r="R83" s="1193" t="s">
        <v>413</v>
      </c>
    </row>
    <row r="84" spans="1:18" ht="15" customHeight="1">
      <c r="A84" s="1176">
        <v>38500</v>
      </c>
      <c r="B84" s="1220">
        <v>11734.803201254315</v>
      </c>
      <c r="C84" s="1224">
        <v>5.9519727396830024</v>
      </c>
      <c r="D84" s="421">
        <v>151.1801067922635</v>
      </c>
      <c r="E84" s="1197">
        <v>2.9233458544988213</v>
      </c>
      <c r="F84" s="1205">
        <v>0.20554526887953406</v>
      </c>
      <c r="G84" s="1206">
        <f t="shared" si="16"/>
        <v>20155.689895692238</v>
      </c>
      <c r="H84" s="1206">
        <f t="shared" si="17"/>
        <v>20.155689895692237</v>
      </c>
      <c r="I84" s="1201">
        <v>201.55689895692237</v>
      </c>
      <c r="K84" s="1224">
        <f t="shared" si="9"/>
        <v>1.2466406903266047</v>
      </c>
      <c r="L84" s="1182">
        <f t="shared" si="10"/>
        <v>31.66467336763959</v>
      </c>
      <c r="M84" s="1199">
        <f t="shared" si="11"/>
        <v>0.6122947892247781</v>
      </c>
      <c r="N84" s="1205">
        <f t="shared" si="12"/>
        <v>0.04305145656681841</v>
      </c>
      <c r="O84" s="1206">
        <f t="shared" si="13"/>
        <v>4221.60924865274</v>
      </c>
      <c r="P84" s="1314">
        <f t="shared" si="14"/>
        <v>4.221609248652739</v>
      </c>
      <c r="Q84" s="1201">
        <f t="shared" si="15"/>
        <v>42.21609248652739</v>
      </c>
      <c r="R84" s="1193" t="s">
        <v>413</v>
      </c>
    </row>
    <row r="85" spans="1:18" ht="15" customHeight="1">
      <c r="A85" s="1176">
        <v>39000</v>
      </c>
      <c r="B85" s="1220">
        <v>11887.203242829046</v>
      </c>
      <c r="C85" s="1224">
        <v>5.810641642216299</v>
      </c>
      <c r="D85" s="421">
        <v>147.59029693550298</v>
      </c>
      <c r="E85" s="1197">
        <v>2.8539302681107257</v>
      </c>
      <c r="F85" s="1205">
        <v>0.20066454450454635</v>
      </c>
      <c r="G85" s="1206">
        <f t="shared" si="16"/>
        <v>19677.08794340768</v>
      </c>
      <c r="H85" s="1206">
        <f t="shared" si="17"/>
        <v>19.67708794340768</v>
      </c>
      <c r="I85" s="1201">
        <v>196.77087943407682</v>
      </c>
      <c r="K85" s="1224">
        <f t="shared" si="9"/>
        <v>1.217038891962204</v>
      </c>
      <c r="L85" s="1182">
        <f t="shared" si="10"/>
        <v>30.912787693141098</v>
      </c>
      <c r="M85" s="1199">
        <f t="shared" si="11"/>
        <v>0.5977556946557915</v>
      </c>
      <c r="N85" s="1205">
        <f t="shared" si="12"/>
        <v>0.04202918884647723</v>
      </c>
      <c r="O85" s="1206">
        <f t="shared" si="13"/>
        <v>4121.3660697467385</v>
      </c>
      <c r="P85" s="1314">
        <f t="shared" si="14"/>
        <v>4.121366069746739</v>
      </c>
      <c r="Q85" s="1201">
        <f t="shared" si="15"/>
        <v>41.21366069746739</v>
      </c>
      <c r="R85" s="1193" t="s">
        <v>413</v>
      </c>
    </row>
    <row r="86" spans="1:17" ht="15" customHeight="1">
      <c r="A86" s="1176">
        <v>39500</v>
      </c>
      <c r="B86" s="1221">
        <v>12039.603284403778</v>
      </c>
      <c r="C86" s="1224">
        <v>5.67266648738992</v>
      </c>
      <c r="D86" s="421">
        <v>144.08572802135805</v>
      </c>
      <c r="E86" s="1197">
        <v>2.7861629723708914</v>
      </c>
      <c r="F86" s="1205">
        <v>0.19589971416377536</v>
      </c>
      <c r="G86" s="1206">
        <f t="shared" si="16"/>
        <v>19209.850515479084</v>
      </c>
      <c r="H86" s="1206">
        <f t="shared" si="17"/>
        <v>19.209850515479083</v>
      </c>
      <c r="I86" s="1201">
        <v>192.09850515479084</v>
      </c>
      <c r="K86" s="1224">
        <f t="shared" si="9"/>
        <v>1.1881399957838188</v>
      </c>
      <c r="L86" s="1182">
        <f t="shared" si="10"/>
        <v>30.178755734073444</v>
      </c>
      <c r="M86" s="1199">
        <f t="shared" si="11"/>
        <v>0.5835618345630832</v>
      </c>
      <c r="N86" s="1205">
        <f t="shared" si="12"/>
        <v>0.04103119513160275</v>
      </c>
      <c r="O86" s="1206">
        <f t="shared" si="13"/>
        <v>4023.503190467094</v>
      </c>
      <c r="P86" s="1314">
        <f t="shared" si="14"/>
        <v>4.0235031904670935</v>
      </c>
      <c r="Q86" s="1201">
        <f t="shared" si="15"/>
        <v>40.23503190467094</v>
      </c>
    </row>
    <row r="87" spans="1:17" ht="15" customHeight="1">
      <c r="A87" s="1177">
        <v>40000</v>
      </c>
      <c r="B87" s="1222">
        <v>12192.003325978509</v>
      </c>
      <c r="C87" s="1225">
        <v>5.537967587497429</v>
      </c>
      <c r="D87" s="427">
        <v>140.66437598209586</v>
      </c>
      <c r="E87" s="1198">
        <v>2.720004828201159</v>
      </c>
      <c r="F87" s="1207">
        <v>0.19124802592407852</v>
      </c>
      <c r="G87" s="1208">
        <f t="shared" si="16"/>
        <v>18753.707758402452</v>
      </c>
      <c r="H87" s="1208">
        <f t="shared" si="17"/>
        <v>18.753707758402452</v>
      </c>
      <c r="I87" s="1202">
        <v>187.53707758402453</v>
      </c>
      <c r="K87" s="1225">
        <f t="shared" si="9"/>
        <v>1.1599273112013364</v>
      </c>
      <c r="L87" s="1184">
        <f t="shared" si="10"/>
        <v>29.46215354944998</v>
      </c>
      <c r="M87" s="1198">
        <f t="shared" si="11"/>
        <v>0.5697050112667328</v>
      </c>
      <c r="N87" s="1207">
        <f t="shared" si="12"/>
        <v>0.04005689902979825</v>
      </c>
      <c r="O87" s="1208">
        <f t="shared" si="13"/>
        <v>3927.9640899973933</v>
      </c>
      <c r="P87" s="1315">
        <f t="shared" si="14"/>
        <v>3.9279640899973938</v>
      </c>
      <c r="Q87" s="1202">
        <f t="shared" si="15"/>
        <v>39.279640899973934</v>
      </c>
    </row>
    <row r="88" spans="1:17" ht="15" customHeight="1">
      <c r="A88" s="1178">
        <v>40500</v>
      </c>
      <c r="B88" s="1219">
        <v>12344.403367553241</v>
      </c>
      <c r="C88" s="1223">
        <v>5.406467147037125</v>
      </c>
      <c r="D88" s="421">
        <v>137.32426481198368</v>
      </c>
      <c r="E88" s="1197">
        <v>2.655417625890674</v>
      </c>
      <c r="F88" s="1205">
        <v>0.18670679319766154</v>
      </c>
      <c r="G88" s="1206">
        <f t="shared" si="16"/>
        <v>18308.396226413483</v>
      </c>
      <c r="H88" s="1206">
        <f t="shared" si="17"/>
        <v>18.308396226413482</v>
      </c>
      <c r="I88" s="1200">
        <v>183.08396226413484</v>
      </c>
      <c r="K88" s="1226">
        <f t="shared" si="9"/>
        <v>1.1323845439469258</v>
      </c>
      <c r="L88" s="1182">
        <f t="shared" si="10"/>
        <v>28.762567264869983</v>
      </c>
      <c r="M88" s="1199">
        <f t="shared" si="11"/>
        <v>0.5561772217428016</v>
      </c>
      <c r="N88" s="1205">
        <f t="shared" si="12"/>
        <v>0.03910573783525021</v>
      </c>
      <c r="O88" s="1206">
        <f t="shared" si="13"/>
        <v>3834.693589622304</v>
      </c>
      <c r="P88" s="1314">
        <f t="shared" si="14"/>
        <v>3.8346935896223036</v>
      </c>
      <c r="Q88" s="1201">
        <f t="shared" si="15"/>
        <v>38.346935896223044</v>
      </c>
    </row>
    <row r="89" spans="1:17" ht="15" customHeight="1">
      <c r="A89" s="1176">
        <v>41000</v>
      </c>
      <c r="B89" s="1220">
        <v>12496.803409127971</v>
      </c>
      <c r="C89" s="1224">
        <v>5.278089217781164</v>
      </c>
      <c r="D89" s="421">
        <v>134.0634654260444</v>
      </c>
      <c r="E89" s="1197">
        <v>2.592364063027827</v>
      </c>
      <c r="F89" s="1205">
        <v>0.18227339319043642</v>
      </c>
      <c r="G89" s="1206">
        <f t="shared" si="16"/>
        <v>17873.65872933414</v>
      </c>
      <c r="H89" s="1206">
        <f t="shared" si="17"/>
        <v>17.87365872933414</v>
      </c>
      <c r="I89" s="1201">
        <v>178.73658729334142</v>
      </c>
      <c r="K89" s="1224">
        <f t="shared" si="9"/>
        <v>1.1054957866642647</v>
      </c>
      <c r="L89" s="1182">
        <f t="shared" si="10"/>
        <v>28.079592833485</v>
      </c>
      <c r="M89" s="1199">
        <f t="shared" si="11"/>
        <v>0.5429706530011783</v>
      </c>
      <c r="N89" s="1205">
        <f t="shared" si="12"/>
        <v>0.03817716220373691</v>
      </c>
      <c r="O89" s="1206">
        <f t="shared" si="13"/>
        <v>3743.6378208590354</v>
      </c>
      <c r="P89" s="1314">
        <f t="shared" si="14"/>
        <v>3.7436378208590355</v>
      </c>
      <c r="Q89" s="1201">
        <f t="shared" si="15"/>
        <v>37.43637820859036</v>
      </c>
    </row>
    <row r="90" spans="1:17" ht="15" customHeight="1">
      <c r="A90" s="1176">
        <v>41500</v>
      </c>
      <c r="B90" s="1220">
        <v>12649.203450702702</v>
      </c>
      <c r="C90" s="1224">
        <v>5.152759654911575</v>
      </c>
      <c r="D90" s="421">
        <v>130.88009454591142</v>
      </c>
      <c r="E90" s="1197">
        <v>2.5308077229562027</v>
      </c>
      <c r="F90" s="1205">
        <v>0.17794526538722405</v>
      </c>
      <c r="G90" s="1206">
        <f t="shared" si="16"/>
        <v>17449.244184032206</v>
      </c>
      <c r="H90" s="1206">
        <f t="shared" si="17"/>
        <v>17.449244184032207</v>
      </c>
      <c r="I90" s="1201">
        <v>174.49244184032204</v>
      </c>
      <c r="K90" s="1224">
        <f t="shared" si="9"/>
        <v>1.0792455097212295</v>
      </c>
      <c r="L90" s="1182">
        <f t="shared" si="10"/>
        <v>27.412835802641148</v>
      </c>
      <c r="M90" s="1199">
        <f t="shared" si="11"/>
        <v>0.5300776775731767</v>
      </c>
      <c r="N90" s="1205">
        <f t="shared" si="12"/>
        <v>0.037270635835354074</v>
      </c>
      <c r="O90" s="1206">
        <f t="shared" si="13"/>
        <v>3654.7441943455456</v>
      </c>
      <c r="P90" s="1314">
        <f t="shared" si="14"/>
        <v>3.6547441943455454</v>
      </c>
      <c r="Q90" s="1201">
        <f t="shared" si="15"/>
        <v>36.54744194345545</v>
      </c>
    </row>
    <row r="91" spans="1:17" ht="15" customHeight="1">
      <c r="A91" s="1176">
        <v>42000</v>
      </c>
      <c r="B91" s="1221">
        <v>12801.603492277434</v>
      </c>
      <c r="C91" s="1224">
        <v>5.030406074197833</v>
      </c>
      <c r="D91" s="421">
        <v>127.7723136121391</v>
      </c>
      <c r="E91" s="1197">
        <v>2.4707130537421</v>
      </c>
      <c r="F91" s="1205">
        <v>0.17371991007292545</v>
      </c>
      <c r="G91" s="1206">
        <f t="shared" si="16"/>
        <v>17034.907469407888</v>
      </c>
      <c r="H91" s="1206">
        <f t="shared" si="17"/>
        <v>17.034907469407887</v>
      </c>
      <c r="I91" s="1201">
        <v>170.34907469407887</v>
      </c>
      <c r="K91" s="1224">
        <f t="shared" si="9"/>
        <v>1.0536185522407362</v>
      </c>
      <c r="L91" s="1182">
        <f t="shared" si="10"/>
        <v>26.761911086062533</v>
      </c>
      <c r="M91" s="1199">
        <f t="shared" si="11"/>
        <v>0.5174908491062828</v>
      </c>
      <c r="N91" s="1205">
        <f t="shared" si="12"/>
        <v>0.036385635164774235</v>
      </c>
      <c r="O91" s="1206">
        <f t="shared" si="13"/>
        <v>3567.961369467482</v>
      </c>
      <c r="P91" s="1314">
        <f t="shared" si="14"/>
        <v>3.567961369467482</v>
      </c>
      <c r="Q91" s="1201">
        <f t="shared" si="15"/>
        <v>35.67961369467482</v>
      </c>
    </row>
    <row r="92" spans="1:17" ht="15" customHeight="1">
      <c r="A92" s="1177">
        <v>42500</v>
      </c>
      <c r="B92" s="1222">
        <v>12954.003533852165</v>
      </c>
      <c r="C92" s="1225">
        <v>4.910957810191266</v>
      </c>
      <c r="D92" s="427">
        <v>124.73832772234064</v>
      </c>
      <c r="E92" s="1198">
        <v>2.412045347641471</v>
      </c>
      <c r="F92" s="1207">
        <v>0.1695948868888087</v>
      </c>
      <c r="G92" s="1208">
        <f t="shared" si="16"/>
        <v>16630.409284823905</v>
      </c>
      <c r="H92" s="1208">
        <f t="shared" si="17"/>
        <v>16.630409284823905</v>
      </c>
      <c r="I92" s="1202">
        <v>166.30409284823904</v>
      </c>
      <c r="K92" s="1225">
        <f t="shared" si="9"/>
        <v>1.0286001133445606</v>
      </c>
      <c r="L92" s="1184">
        <f t="shared" si="10"/>
        <v>26.126442741444247</v>
      </c>
      <c r="M92" s="1198">
        <f t="shared" si="11"/>
        <v>0.5052028980635062</v>
      </c>
      <c r="N92" s="1207">
        <f t="shared" si="12"/>
        <v>0.03552164905886098</v>
      </c>
      <c r="O92" s="1208">
        <f t="shared" si="13"/>
        <v>3483.2392247063667</v>
      </c>
      <c r="P92" s="1315">
        <f t="shared" si="14"/>
        <v>3.483239224706367</v>
      </c>
      <c r="Q92" s="1202">
        <f t="shared" si="15"/>
        <v>34.832392247063666</v>
      </c>
    </row>
    <row r="93" spans="1:17" ht="15" customHeight="1">
      <c r="A93" s="1178">
        <v>43000</v>
      </c>
      <c r="B93" s="1219">
        <v>13106.403575426897</v>
      </c>
      <c r="C93" s="1223">
        <v>4.794345875412148</v>
      </c>
      <c r="D93" s="421">
        <v>121.77638459454023</v>
      </c>
      <c r="E93" s="1197">
        <v>2.354770721054425</v>
      </c>
      <c r="F93" s="1205">
        <v>0.1655678134230769</v>
      </c>
      <c r="G93" s="1206">
        <f t="shared" si="16"/>
        <v>16235.51601189709</v>
      </c>
      <c r="H93" s="1206">
        <f t="shared" si="17"/>
        <v>16.23551601189709</v>
      </c>
      <c r="I93" s="1200">
        <v>162.3551601189709</v>
      </c>
      <c r="K93" s="1226">
        <f t="shared" si="9"/>
        <v>1.0041757436050744</v>
      </c>
      <c r="L93" s="1182">
        <f t="shared" si="10"/>
        <v>25.50606375332645</v>
      </c>
      <c r="M93" s="1199">
        <f t="shared" si="11"/>
        <v>0.4932067275248493</v>
      </c>
      <c r="N93" s="1205">
        <f t="shared" si="12"/>
        <v>0.03467817852146345</v>
      </c>
      <c r="O93" s="1206">
        <f t="shared" si="13"/>
        <v>3400.528828691846</v>
      </c>
      <c r="P93" s="1314">
        <f t="shared" si="14"/>
        <v>3.4005288286918454</v>
      </c>
      <c r="Q93" s="1201">
        <f t="shared" si="15"/>
        <v>34.00528828691846</v>
      </c>
    </row>
    <row r="94" spans="1:17" ht="15" customHeight="1">
      <c r="A94" s="1176">
        <v>43500</v>
      </c>
      <c r="B94" s="1220">
        <v>13258.803617001628</v>
      </c>
      <c r="C94" s="1224">
        <v>4.680502920505898</v>
      </c>
      <c r="D94" s="421">
        <v>118.88477355514048</v>
      </c>
      <c r="E94" s="1197">
        <v>2.2988560949557164</v>
      </c>
      <c r="F94" s="1205">
        <v>0.1616363638349035</v>
      </c>
      <c r="G94" s="1206">
        <f t="shared" si="16"/>
        <v>15849.999579571855</v>
      </c>
      <c r="H94" s="1206">
        <f t="shared" si="17"/>
        <v>15.849999579571856</v>
      </c>
      <c r="I94" s="1201">
        <v>158.49999579571855</v>
      </c>
      <c r="K94" s="1224">
        <f t="shared" si="9"/>
        <v>0.9803313366999603</v>
      </c>
      <c r="L94" s="1182">
        <f t="shared" si="10"/>
        <v>24.900415821124174</v>
      </c>
      <c r="M94" s="1199">
        <f t="shared" si="11"/>
        <v>0.48149540908847477</v>
      </c>
      <c r="N94" s="1205">
        <f t="shared" si="12"/>
        <v>0.03385473640522054</v>
      </c>
      <c r="O94" s="1206">
        <f t="shared" si="13"/>
        <v>3319.782411941325</v>
      </c>
      <c r="P94" s="1314">
        <f t="shared" si="14"/>
        <v>3.319782411941325</v>
      </c>
      <c r="Q94" s="1201">
        <f t="shared" si="15"/>
        <v>33.19782411941325</v>
      </c>
    </row>
    <row r="95" spans="1:17" ht="15" customHeight="1">
      <c r="A95" s="1176">
        <v>44000</v>
      </c>
      <c r="B95" s="1220">
        <v>13411.20365857636</v>
      </c>
      <c r="C95" s="1224">
        <v>4.569363195345391</v>
      </c>
      <c r="D95" s="421">
        <v>116.06182455092122</v>
      </c>
      <c r="E95" s="1197">
        <v>2.2442691757899187</v>
      </c>
      <c r="F95" s="1205">
        <v>0.15779826751114068</v>
      </c>
      <c r="G95" s="1206">
        <f t="shared" si="16"/>
        <v>15473.63733239749</v>
      </c>
      <c r="H95" s="1206">
        <f t="shared" si="17"/>
        <v>15.47363733239749</v>
      </c>
      <c r="I95" s="1201">
        <v>154.7363733239749</v>
      </c>
      <c r="K95" s="1224">
        <f t="shared" si="9"/>
        <v>0.957053121265092</v>
      </c>
      <c r="L95" s="1182">
        <f t="shared" si="10"/>
        <v>24.309149152190447</v>
      </c>
      <c r="M95" s="1199">
        <f t="shared" si="11"/>
        <v>0.4700621788691985</v>
      </c>
      <c r="N95" s="1205">
        <f t="shared" si="12"/>
        <v>0.033050847130208415</v>
      </c>
      <c r="O95" s="1206">
        <f t="shared" si="13"/>
        <v>3240.953339270654</v>
      </c>
      <c r="P95" s="1314">
        <f t="shared" si="14"/>
        <v>3.240953339270654</v>
      </c>
      <c r="Q95" s="1201">
        <f t="shared" si="15"/>
        <v>32.40953339270654</v>
      </c>
    </row>
    <row r="96" spans="1:17" ht="15" customHeight="1">
      <c r="A96" s="1176">
        <v>44500</v>
      </c>
      <c r="B96" s="1221">
        <v>13563.60370015109</v>
      </c>
      <c r="C96" s="1224">
        <v>4.460862511056887</v>
      </c>
      <c r="D96" s="421">
        <v>113.30590718449805</v>
      </c>
      <c r="E96" s="1197">
        <v>2.190978436820241</v>
      </c>
      <c r="F96" s="1205">
        <v>0.15405130775492348</v>
      </c>
      <c r="G96" s="1206">
        <f t="shared" si="16"/>
        <v>15106.211901933244</v>
      </c>
      <c r="H96" s="1206">
        <f t="shared" si="17"/>
        <v>15.106211901933245</v>
      </c>
      <c r="I96" s="1201">
        <v>151.06211901933244</v>
      </c>
      <c r="K96" s="1224">
        <f t="shared" si="9"/>
        <v>0.934327652940865</v>
      </c>
      <c r="L96" s="1182">
        <f t="shared" si="10"/>
        <v>23.731922259793116</v>
      </c>
      <c r="M96" s="1199">
        <f t="shared" si="11"/>
        <v>0.4589004335919995</v>
      </c>
      <c r="N96" s="1205">
        <f t="shared" si="12"/>
        <v>0.03226604640926872</v>
      </c>
      <c r="O96" s="1206">
        <f t="shared" si="13"/>
        <v>3163.996082859918</v>
      </c>
      <c r="P96" s="1314">
        <f t="shared" si="14"/>
        <v>3.163996082859918</v>
      </c>
      <c r="Q96" s="1201">
        <f t="shared" si="15"/>
        <v>31.63996082859918</v>
      </c>
    </row>
    <row r="97" spans="1:17" ht="15" customHeight="1">
      <c r="A97" s="1177">
        <v>45000</v>
      </c>
      <c r="B97" s="1222">
        <v>13716.003741725823</v>
      </c>
      <c r="C97" s="1225">
        <v>4.354938202947688</v>
      </c>
      <c r="D97" s="427">
        <v>110.6154297726848</v>
      </c>
      <c r="E97" s="1198">
        <v>2.138953099920231</v>
      </c>
      <c r="F97" s="1207">
        <v>0.15039332050541476</v>
      </c>
      <c r="G97" s="1208">
        <f t="shared" si="16"/>
        <v>14747.511081206958</v>
      </c>
      <c r="H97" s="1208">
        <f t="shared" si="17"/>
        <v>14.747511081206959</v>
      </c>
      <c r="I97" s="1202">
        <v>147.47511081206957</v>
      </c>
      <c r="K97" s="1225">
        <f t="shared" si="9"/>
        <v>0.9121418066073932</v>
      </c>
      <c r="L97" s="1184">
        <f t="shared" si="10"/>
        <v>23.16840176588883</v>
      </c>
      <c r="M97" s="1198">
        <f t="shared" si="11"/>
        <v>0.4480037267782924</v>
      </c>
      <c r="N97" s="1207">
        <f t="shared" si="12"/>
        <v>0.03149988097985912</v>
      </c>
      <c r="O97" s="1208">
        <f t="shared" si="13"/>
        <v>3088.866195958797</v>
      </c>
      <c r="P97" s="1315">
        <f t="shared" si="14"/>
        <v>3.0888661959587975</v>
      </c>
      <c r="Q97" s="1202">
        <f t="shared" si="15"/>
        <v>30.88866195958797</v>
      </c>
    </row>
    <row r="98" spans="1:17" ht="15" customHeight="1">
      <c r="A98" s="1176">
        <v>45500</v>
      </c>
      <c r="B98" s="1219">
        <v>13868.403783300553</v>
      </c>
      <c r="C98" s="1223">
        <v>4.251529094314061</v>
      </c>
      <c r="D98" s="421">
        <v>107.98883842721486</v>
      </c>
      <c r="E98" s="1197">
        <v>2.088163117797828</v>
      </c>
      <c r="F98" s="1205">
        <v>0.14682219308794883</v>
      </c>
      <c r="G98" s="1206">
        <f t="shared" si="16"/>
        <v>14397.327702154664</v>
      </c>
      <c r="H98" s="1206">
        <f t="shared" si="17"/>
        <v>14.397327702154664</v>
      </c>
      <c r="I98" s="1200">
        <v>143.97327702154664</v>
      </c>
      <c r="K98" s="1226">
        <f t="shared" si="9"/>
        <v>0.8904827688040801</v>
      </c>
      <c r="L98" s="1182">
        <f t="shared" si="10"/>
        <v>22.618262208580152</v>
      </c>
      <c r="M98" s="1199">
        <f t="shared" si="11"/>
        <v>0.4373657650227551</v>
      </c>
      <c r="N98" s="1205">
        <f t="shared" si="12"/>
        <v>0.030751908342270883</v>
      </c>
      <c r="O98" s="1206">
        <f t="shared" si="13"/>
        <v>3015.5202872162945</v>
      </c>
      <c r="P98" s="1314">
        <f t="shared" si="14"/>
        <v>3.0155202872162943</v>
      </c>
      <c r="Q98" s="1201">
        <f t="shared" si="15"/>
        <v>30.155202872162942</v>
      </c>
    </row>
    <row r="99" spans="1:17" ht="15" customHeight="1">
      <c r="A99" s="1176">
        <v>46000</v>
      </c>
      <c r="B99" s="1220">
        <v>14020.803824875285</v>
      </c>
      <c r="C99" s="1224">
        <v>4.150575461108573</v>
      </c>
      <c r="D99" s="421">
        <v>105.42461615729135</v>
      </c>
      <c r="E99" s="1197">
        <v>2.038579156641518</v>
      </c>
      <c r="F99" s="1205">
        <v>0.14333586299385415</v>
      </c>
      <c r="G99" s="1206">
        <f t="shared" si="16"/>
        <v>14055.459515970455</v>
      </c>
      <c r="H99" s="1206">
        <f t="shared" si="17"/>
        <v>14.055459515970455</v>
      </c>
      <c r="I99" s="1201">
        <v>140.55459515970455</v>
      </c>
      <c r="K99" s="1224">
        <f t="shared" si="9"/>
        <v>0.8693380303291905</v>
      </c>
      <c r="L99" s="1182">
        <f t="shared" si="10"/>
        <v>22.081185854144675</v>
      </c>
      <c r="M99" s="1199">
        <f t="shared" si="11"/>
        <v>0.42698040435856593</v>
      </c>
      <c r="N99" s="1205">
        <f t="shared" si="12"/>
        <v>0.03002169650406275</v>
      </c>
      <c r="O99" s="1206">
        <f t="shared" si="13"/>
        <v>2943.915995620012</v>
      </c>
      <c r="P99" s="1314">
        <f t="shared" si="14"/>
        <v>2.943915995620012</v>
      </c>
      <c r="Q99" s="1201">
        <f t="shared" si="15"/>
        <v>29.43915995620012</v>
      </c>
    </row>
    <row r="100" spans="1:17" ht="15" customHeight="1">
      <c r="A100" s="1176">
        <v>46500</v>
      </c>
      <c r="B100" s="1220">
        <v>14173.203866450016</v>
      </c>
      <c r="C100" s="1224">
        <v>4.052018997446395</v>
      </c>
      <c r="D100" s="421">
        <v>102.92128199344748</v>
      </c>
      <c r="E100" s="1197">
        <v>1.990172579178558</v>
      </c>
      <c r="F100" s="1205">
        <v>0.13993231668924908</v>
      </c>
      <c r="G100" s="1206">
        <f t="shared" si="16"/>
        <v>13721.709076297455</v>
      </c>
      <c r="H100" s="1206">
        <f t="shared" si="17"/>
        <v>13.721709076297454</v>
      </c>
      <c r="I100" s="1201">
        <v>137.21709076297455</v>
      </c>
      <c r="K100" s="1224">
        <f t="shared" si="9"/>
        <v>0.8486953790151475</v>
      </c>
      <c r="L100" s="1182">
        <f t="shared" si="10"/>
        <v>21.556862513527573</v>
      </c>
      <c r="M100" s="1199">
        <f t="shared" si="11"/>
        <v>0.41684164670894897</v>
      </c>
      <c r="N100" s="1205">
        <f t="shared" si="12"/>
        <v>0.02930882373056322</v>
      </c>
      <c r="O100" s="1206">
        <f t="shared" si="13"/>
        <v>2874.0119660305018</v>
      </c>
      <c r="P100" s="1314">
        <f t="shared" si="14"/>
        <v>2.8740119660305017</v>
      </c>
      <c r="Q100" s="1201">
        <f t="shared" si="15"/>
        <v>28.74011966030502</v>
      </c>
    </row>
    <row r="101" spans="1:17" ht="15" customHeight="1">
      <c r="A101" s="1176">
        <v>47000</v>
      </c>
      <c r="B101" s="1221">
        <v>14325.603908024748</v>
      </c>
      <c r="C101" s="1224">
        <v>3.955802781930676</v>
      </c>
      <c r="D101" s="421">
        <v>100.47739013221081</v>
      </c>
      <c r="E101" s="1197">
        <v>1.9429154281354868</v>
      </c>
      <c r="F101" s="1205">
        <v>0.13660958845212295</v>
      </c>
      <c r="G101" s="1206">
        <f t="shared" si="16"/>
        <v>13395.883625192448</v>
      </c>
      <c r="H101" s="1206">
        <f t="shared" si="17"/>
        <v>13.395883625192448</v>
      </c>
      <c r="I101" s="1201">
        <v>133.95883625192448</v>
      </c>
      <c r="K101" s="1224">
        <f t="shared" si="9"/>
        <v>0.8285428926753801</v>
      </c>
      <c r="L101" s="1182">
        <f t="shared" si="10"/>
        <v>21.044989363191554</v>
      </c>
      <c r="M101" s="1199">
        <f t="shared" si="11"/>
        <v>0.4069436364229777</v>
      </c>
      <c r="N101" s="1205">
        <f t="shared" si="12"/>
        <v>0.02861287830129715</v>
      </c>
      <c r="O101" s="1206">
        <f t="shared" si="13"/>
        <v>2805.767825296558</v>
      </c>
      <c r="P101" s="1314">
        <f t="shared" si="14"/>
        <v>2.805767825296558</v>
      </c>
      <c r="Q101" s="1201">
        <f t="shared" si="15"/>
        <v>28.057678252965584</v>
      </c>
    </row>
    <row r="102" spans="1:17" ht="15" customHeight="1">
      <c r="A102" s="1177">
        <v>47500</v>
      </c>
      <c r="B102" s="1222">
        <v>14478.003949599479</v>
      </c>
      <c r="C102" s="1225">
        <v>3.8618712447775216</v>
      </c>
      <c r="D102" s="427">
        <v>98.09152910107785</v>
      </c>
      <c r="E102" s="1198">
        <v>1.8967804100913683</v>
      </c>
      <c r="F102" s="1207">
        <v>0.13336575923703126</v>
      </c>
      <c r="G102" s="1208">
        <f t="shared" si="16"/>
        <v>13077.794981798306</v>
      </c>
      <c r="H102" s="1208">
        <f t="shared" si="17"/>
        <v>13.077794981798306</v>
      </c>
      <c r="I102" s="1202">
        <v>130.77794981798306</v>
      </c>
      <c r="K102" s="1225">
        <f t="shared" si="9"/>
        <v>0.8088689322186519</v>
      </c>
      <c r="L102" s="1184">
        <f t="shared" si="10"/>
        <v>20.545270770220757</v>
      </c>
      <c r="M102" s="1198">
        <f t="shared" si="11"/>
        <v>0.3972806568936371</v>
      </c>
      <c r="N102" s="1207">
        <f t="shared" si="12"/>
        <v>0.027933458272196197</v>
      </c>
      <c r="O102" s="1208">
        <f t="shared" si="13"/>
        <v>2739.144158937655</v>
      </c>
      <c r="P102" s="1315">
        <f t="shared" si="14"/>
        <v>2.739144158937655</v>
      </c>
      <c r="Q102" s="1202">
        <f t="shared" si="15"/>
        <v>27.39144158937655</v>
      </c>
    </row>
    <row r="103" spans="1:17" ht="15" customHeight="1">
      <c r="A103" s="1178">
        <v>48000</v>
      </c>
      <c r="B103" s="1219">
        <v>14630.403991174211</v>
      </c>
      <c r="C103" s="1223">
        <v>3.7701701357216058</v>
      </c>
      <c r="D103" s="421">
        <v>95.76232094331658</v>
      </c>
      <c r="E103" s="1197">
        <v>1.8517408797144477</v>
      </c>
      <c r="F103" s="1205">
        <v>0.1301989555667487</v>
      </c>
      <c r="G103" s="1206">
        <f t="shared" si="16"/>
        <v>12767.259433659938</v>
      </c>
      <c r="H103" s="1206">
        <f t="shared" si="17"/>
        <v>12.767259433659937</v>
      </c>
      <c r="I103" s="1200">
        <v>127.67259433659937</v>
      </c>
      <c r="K103" s="1226">
        <f t="shared" si="9"/>
        <v>0.7896621349268903</v>
      </c>
      <c r="L103" s="1182">
        <f t="shared" si="10"/>
        <v>20.05741812157766</v>
      </c>
      <c r="M103" s="1199">
        <f t="shared" si="11"/>
        <v>0.3878471272561911</v>
      </c>
      <c r="N103" s="1205">
        <f t="shared" si="12"/>
        <v>0.027270171243455515</v>
      </c>
      <c r="O103" s="1206">
        <f t="shared" si="13"/>
        <v>2674.1024883800737</v>
      </c>
      <c r="P103" s="1314">
        <f t="shared" si="14"/>
        <v>2.6741024883800737</v>
      </c>
      <c r="Q103" s="1201">
        <f t="shared" si="15"/>
        <v>26.741024883800737</v>
      </c>
    </row>
    <row r="104" spans="1:17" ht="15" customHeight="1">
      <c r="A104" s="1176">
        <v>48500</v>
      </c>
      <c r="B104" s="1220">
        <v>14782.804032748942</v>
      </c>
      <c r="C104" s="1224">
        <v>3.6806464926838696</v>
      </c>
      <c r="D104" s="421">
        <v>93.48842042212597</v>
      </c>
      <c r="E104" s="1197">
        <v>1.8077708243731094</v>
      </c>
      <c r="F104" s="1205">
        <v>0.1271073484502405</v>
      </c>
      <c r="G104" s="1206">
        <f t="shared" si="16"/>
        <v>12464.09763062094</v>
      </c>
      <c r="H104" s="1206">
        <f t="shared" si="17"/>
        <v>12.46409763062094</v>
      </c>
      <c r="I104" s="1201">
        <v>124.6409763062094</v>
      </c>
      <c r="K104" s="1224">
        <f t="shared" si="9"/>
        <v>0.7709114078926365</v>
      </c>
      <c r="L104" s="1182">
        <f t="shared" si="10"/>
        <v>19.581149657414283</v>
      </c>
      <c r="M104" s="1199">
        <f t="shared" si="11"/>
        <v>0.37863759916494777</v>
      </c>
      <c r="N104" s="1205">
        <f t="shared" si="12"/>
        <v>0.026622634132902872</v>
      </c>
      <c r="O104" s="1206">
        <f t="shared" si="13"/>
        <v>2610.6052487335555</v>
      </c>
      <c r="P104" s="1314">
        <f t="shared" si="14"/>
        <v>2.6106052487335556</v>
      </c>
      <c r="Q104" s="1201">
        <f t="shared" si="15"/>
        <v>26.106052487335557</v>
      </c>
    </row>
    <row r="105" spans="1:17" ht="15" customHeight="1">
      <c r="A105" s="1176">
        <v>49000</v>
      </c>
      <c r="B105" s="1220">
        <v>14935.204074323674</v>
      </c>
      <c r="C105" s="1224">
        <v>3.593248611183208</v>
      </c>
      <c r="D105" s="421">
        <v>91.26851424369289</v>
      </c>
      <c r="E105" s="1197">
        <v>1.7648448491122508</v>
      </c>
      <c r="F105" s="1205">
        <v>0.12408915232632614</v>
      </c>
      <c r="G105" s="1206">
        <f t="shared" si="16"/>
        <v>12168.134481239713</v>
      </c>
      <c r="H105" s="1206">
        <f t="shared" si="17"/>
        <v>12.168134481239713</v>
      </c>
      <c r="I105" s="1201">
        <v>121.68134481239713</v>
      </c>
      <c r="K105" s="1224">
        <f t="shared" si="9"/>
        <v>0.7526059216123229</v>
      </c>
      <c r="L105" s="1182">
        <f t="shared" si="10"/>
        <v>19.116190308341476</v>
      </c>
      <c r="M105" s="1199">
        <f t="shared" si="11"/>
        <v>0.3696467536465609</v>
      </c>
      <c r="N105" s="1205">
        <f t="shared" si="12"/>
        <v>0.02599047295474901</v>
      </c>
      <c r="O105" s="1206">
        <f t="shared" si="13"/>
        <v>2548.6157670956577</v>
      </c>
      <c r="P105" s="1314">
        <f t="shared" si="14"/>
        <v>2.548615767095658</v>
      </c>
      <c r="Q105" s="1201">
        <f t="shared" si="15"/>
        <v>25.48615767095658</v>
      </c>
    </row>
    <row r="106" spans="1:17" ht="15" customHeight="1">
      <c r="A106" s="1176">
        <v>49500</v>
      </c>
      <c r="B106" s="1221">
        <v>15087.604115898404</v>
      </c>
      <c r="C106" s="1224">
        <v>3.507926014474495</v>
      </c>
      <c r="D106" s="421">
        <v>89.10132029869786</v>
      </c>
      <c r="E106" s="1197">
        <v>1.7229381619863995</v>
      </c>
      <c r="F106" s="1205">
        <v>0.12114262403242698</v>
      </c>
      <c r="G106" s="1206">
        <f t="shared" si="16"/>
        <v>11879.199051665211</v>
      </c>
      <c r="H106" s="1206">
        <f t="shared" si="17"/>
        <v>11.87919905166521</v>
      </c>
      <c r="I106" s="1201">
        <v>118.7919905166521</v>
      </c>
      <c r="K106" s="1224">
        <f t="shared" si="9"/>
        <v>0.7347351037316829</v>
      </c>
      <c r="L106" s="1182">
        <f t="shared" si="10"/>
        <v>18.662271536562265</v>
      </c>
      <c r="M106" s="1199">
        <f t="shared" si="11"/>
        <v>0.36086939802805135</v>
      </c>
      <c r="N106" s="1205">
        <f t="shared" si="12"/>
        <v>0.02537332260359183</v>
      </c>
      <c r="O106" s="1206">
        <f t="shared" si="13"/>
        <v>2488.0982413712786</v>
      </c>
      <c r="P106" s="1314">
        <f t="shared" si="14"/>
        <v>2.4880982413712784</v>
      </c>
      <c r="Q106" s="1201">
        <f t="shared" si="15"/>
        <v>24.880982413712783</v>
      </c>
    </row>
    <row r="107" spans="1:17" ht="15" customHeight="1">
      <c r="A107" s="1177">
        <v>50000</v>
      </c>
      <c r="B107" s="1222">
        <v>15240.004157473137</v>
      </c>
      <c r="C107" s="1225">
        <v>3.4246294243956767</v>
      </c>
      <c r="D107" s="427">
        <v>86.98558692183131</v>
      </c>
      <c r="E107" s="1198">
        <v>1.682026559741096</v>
      </c>
      <c r="F107" s="1207">
        <v>0.1182660617978004</v>
      </c>
      <c r="G107" s="1208">
        <f t="shared" si="16"/>
        <v>11597.124466913892</v>
      </c>
      <c r="H107" s="1208">
        <f t="shared" si="17"/>
        <v>11.597124466913892</v>
      </c>
      <c r="I107" s="1202">
        <v>115.97124466913893</v>
      </c>
      <c r="K107" s="1225">
        <f t="shared" si="9"/>
        <v>0.7172886329396745</v>
      </c>
      <c r="L107" s="1184">
        <f t="shared" si="10"/>
        <v>18.21913118077757</v>
      </c>
      <c r="M107" s="1198">
        <f t="shared" si="11"/>
        <v>0.35230046293777256</v>
      </c>
      <c r="N107" s="1207">
        <f t="shared" si="12"/>
        <v>0.024770826643549293</v>
      </c>
      <c r="O107" s="1208">
        <f t="shared" si="13"/>
        <v>2429.0177195951146</v>
      </c>
      <c r="P107" s="1315">
        <f t="shared" si="14"/>
        <v>2.4290177195951146</v>
      </c>
      <c r="Q107" s="1202">
        <f t="shared" si="15"/>
        <v>24.29017719595115</v>
      </c>
    </row>
    <row r="108" spans="1:17" ht="15" customHeight="1">
      <c r="A108" s="1178">
        <v>50500</v>
      </c>
      <c r="B108" s="1219">
        <v>15392.404199047867</v>
      </c>
      <c r="C108" s="1223">
        <v>3.3433107329071166</v>
      </c>
      <c r="D108" s="421">
        <v>84.92009216889291</v>
      </c>
      <c r="E108" s="1197">
        <v>1.6420864138342766</v>
      </c>
      <c r="F108" s="1205">
        <v>0.11545780426068034</v>
      </c>
      <c r="G108" s="1206">
        <f t="shared" si="16"/>
        <v>11321.747814490887</v>
      </c>
      <c r="H108" s="1206">
        <f t="shared" si="17"/>
        <v>11.321747814490887</v>
      </c>
      <c r="I108" s="1200">
        <v>113.21747814490887</v>
      </c>
      <c r="K108" s="1226">
        <f t="shared" si="9"/>
        <v>0.7002564330073956</v>
      </c>
      <c r="L108" s="1182">
        <f t="shared" si="10"/>
        <v>17.78651330477462</v>
      </c>
      <c r="M108" s="1199">
        <f t="shared" si="11"/>
        <v>0.3439349993775892</v>
      </c>
      <c r="N108" s="1205">
        <f t="shared" si="12"/>
        <v>0.024182637102399495</v>
      </c>
      <c r="O108" s="1206">
        <f t="shared" si="13"/>
        <v>2371.3400797451163</v>
      </c>
      <c r="P108" s="1314">
        <f t="shared" si="14"/>
        <v>2.3713400797451163</v>
      </c>
      <c r="Q108" s="1201">
        <f t="shared" si="15"/>
        <v>23.71340079745116</v>
      </c>
    </row>
    <row r="109" spans="1:17" ht="15" customHeight="1">
      <c r="A109" s="1176">
        <v>51000</v>
      </c>
      <c r="B109" s="1220">
        <v>15544.8042406226</v>
      </c>
      <c r="C109" s="1224">
        <v>3.2639229743067415</v>
      </c>
      <c r="D109" s="421">
        <v>82.90364311105627</v>
      </c>
      <c r="E109" s="1197">
        <v>1.6030946567895827</v>
      </c>
      <c r="F109" s="1205">
        <v>0.11271622950875586</v>
      </c>
      <c r="G109" s="1206">
        <f t="shared" si="16"/>
        <v>11052.910050299706</v>
      </c>
      <c r="H109" s="1206">
        <f t="shared" si="17"/>
        <v>11.052910050299706</v>
      </c>
      <c r="I109" s="1201">
        <v>110.52910050299707</v>
      </c>
      <c r="K109" s="1224">
        <f t="shared" si="9"/>
        <v>0.683628666968547</v>
      </c>
      <c r="L109" s="1182">
        <f t="shared" si="10"/>
        <v>17.364168049610736</v>
      </c>
      <c r="M109" s="1199">
        <f t="shared" si="11"/>
        <v>0.3357681758645781</v>
      </c>
      <c r="N109" s="1205">
        <f t="shared" si="12"/>
        <v>0.023608414270608915</v>
      </c>
      <c r="O109" s="1206">
        <f t="shared" si="13"/>
        <v>2315.0320100352733</v>
      </c>
      <c r="P109" s="1314">
        <f t="shared" si="14"/>
        <v>2.3150320100352735</v>
      </c>
      <c r="Q109" s="1201">
        <f t="shared" si="15"/>
        <v>23.150320100352737</v>
      </c>
    </row>
    <row r="110" spans="1:17" ht="15" customHeight="1">
      <c r="A110" s="1176">
        <v>51500</v>
      </c>
      <c r="B110" s="1220">
        <v>15697.20428219733</v>
      </c>
      <c r="C110" s="1224">
        <v>3.186420298104948</v>
      </c>
      <c r="D110" s="421">
        <v>80.9350751458916</v>
      </c>
      <c r="E110" s="1197">
        <v>1.5650287688737143</v>
      </c>
      <c r="F110" s="1205">
        <v>0.11003975414243394</v>
      </c>
      <c r="G110" s="1206">
        <f t="shared" si="16"/>
        <v>10790.45590678614</v>
      </c>
      <c r="H110" s="1206">
        <f t="shared" si="17"/>
        <v>10.79045590678614</v>
      </c>
      <c r="I110" s="1201">
        <v>107.9045590678614</v>
      </c>
      <c r="K110" s="1224">
        <f t="shared" si="9"/>
        <v>0.6673957314380813</v>
      </c>
      <c r="L110" s="1182">
        <f t="shared" si="10"/>
        <v>16.951851489306996</v>
      </c>
      <c r="M110" s="1199">
        <f t="shared" si="11"/>
        <v>0.32779527564059946</v>
      </c>
      <c r="N110" s="1205">
        <f t="shared" si="12"/>
        <v>0.02304782650513279</v>
      </c>
      <c r="O110" s="1206">
        <f t="shared" si="13"/>
        <v>2260.0609896763567</v>
      </c>
      <c r="P110" s="1314">
        <f t="shared" si="14"/>
        <v>2.260060989676357</v>
      </c>
      <c r="Q110" s="1201">
        <f t="shared" si="15"/>
        <v>22.60060989676357</v>
      </c>
    </row>
    <row r="111" spans="1:17" ht="15" customHeight="1">
      <c r="A111" s="1176">
        <v>52000</v>
      </c>
      <c r="B111" s="1221">
        <v>15849.60432377206</v>
      </c>
      <c r="C111" s="1224">
        <v>3.1107579425435996</v>
      </c>
      <c r="D111" s="421">
        <v>79.01325132474821</v>
      </c>
      <c r="E111" s="1197">
        <v>1.5278667650901312</v>
      </c>
      <c r="F111" s="1205">
        <v>0.10742683236034518</v>
      </c>
      <c r="G111" s="1206">
        <f t="shared" si="16"/>
        <v>10534.233803263307</v>
      </c>
      <c r="H111" s="1206">
        <f t="shared" si="17"/>
        <v>10.534233803263307</v>
      </c>
      <c r="I111" s="1201">
        <v>105.34233803263307</v>
      </c>
      <c r="K111" s="1224">
        <f t="shared" si="9"/>
        <v>0.651548251065757</v>
      </c>
      <c r="L111" s="1182">
        <f t="shared" si="10"/>
        <v>16.549325489968513</v>
      </c>
      <c r="M111" s="1199">
        <f t="shared" si="11"/>
        <v>0.32001169394812795</v>
      </c>
      <c r="N111" s="1205">
        <f t="shared" si="12"/>
        <v>0.0225005500378743</v>
      </c>
      <c r="O111" s="1206">
        <f t="shared" si="13"/>
        <v>2206.3952700934997</v>
      </c>
      <c r="P111" s="1314">
        <f t="shared" si="14"/>
        <v>2.2063952700934997</v>
      </c>
      <c r="Q111" s="1201">
        <f t="shared" si="15"/>
        <v>22.063952700934994</v>
      </c>
    </row>
    <row r="112" spans="1:17" ht="15" customHeight="1">
      <c r="A112" s="1177">
        <v>52500</v>
      </c>
      <c r="B112" s="1222">
        <v>16002.004365346793</v>
      </c>
      <c r="C112" s="1225">
        <v>3.0368922087438235</v>
      </c>
      <c r="D112" s="427">
        <v>77.13706169610859</v>
      </c>
      <c r="E112" s="1198">
        <v>1.4915871824815943</v>
      </c>
      <c r="F112" s="1207">
        <v>0.10487595506656448</v>
      </c>
      <c r="G112" s="1208">
        <f t="shared" si="16"/>
        <v>10284.095758366055</v>
      </c>
      <c r="H112" s="1208">
        <f t="shared" si="17"/>
        <v>10.284095758366055</v>
      </c>
      <c r="I112" s="1202">
        <v>102.84095758366055</v>
      </c>
      <c r="K112" s="1225">
        <f t="shared" si="9"/>
        <v>0.6360770731213938</v>
      </c>
      <c r="L112" s="1184">
        <f t="shared" si="10"/>
        <v>16.156357572249945</v>
      </c>
      <c r="M112" s="1198">
        <f t="shared" si="11"/>
        <v>0.3124129353707699</v>
      </c>
      <c r="N112" s="1207">
        <f t="shared" si="12"/>
        <v>0.021966268788691932</v>
      </c>
      <c r="O112" s="1208">
        <f t="shared" si="13"/>
        <v>2154.0038565897703</v>
      </c>
      <c r="P112" s="1315">
        <f t="shared" si="14"/>
        <v>2.15400385658977</v>
      </c>
      <c r="Q112" s="1202">
        <f t="shared" si="15"/>
        <v>21.540038565897703</v>
      </c>
    </row>
    <row r="113" spans="1:17" ht="15" customHeight="1">
      <c r="A113" s="1178">
        <v>53000</v>
      </c>
      <c r="B113" s="1219">
        <v>16154.404406921523</v>
      </c>
      <c r="C113" s="1223">
        <v>2.964780435467674</v>
      </c>
      <c r="D113" s="421">
        <v>75.3054226645346</v>
      </c>
      <c r="E113" s="1197">
        <v>1.456169067734211</v>
      </c>
      <c r="F113" s="1205">
        <v>0.10238564899903106</v>
      </c>
      <c r="G113" s="1206">
        <f t="shared" si="16"/>
        <v>10039.897304584169</v>
      </c>
      <c r="H113" s="1206">
        <f t="shared" si="17"/>
        <v>10.03989730458417</v>
      </c>
      <c r="I113" s="1200">
        <v>100.39897304584169</v>
      </c>
      <c r="K113" s="1226">
        <f t="shared" si="9"/>
        <v>0.6209732622087043</v>
      </c>
      <c r="L113" s="1182">
        <f t="shared" si="10"/>
        <v>15.772720777086773</v>
      </c>
      <c r="M113" s="1199">
        <f t="shared" si="11"/>
        <v>0.3049946112369305</v>
      </c>
      <c r="N113" s="1205">
        <f t="shared" si="12"/>
        <v>0.021444674182847057</v>
      </c>
      <c r="O113" s="1206">
        <f t="shared" si="13"/>
        <v>2102.856490445154</v>
      </c>
      <c r="P113" s="1314">
        <f t="shared" si="14"/>
        <v>2.1028564904451543</v>
      </c>
      <c r="Q113" s="1201">
        <f t="shared" si="15"/>
        <v>21.028564904451542</v>
      </c>
    </row>
    <row r="114" spans="1:17" ht="15" customHeight="1">
      <c r="A114" s="1176">
        <v>53500</v>
      </c>
      <c r="B114" s="1220">
        <v>16306.804448496256</v>
      </c>
      <c r="C114" s="1224">
        <v>2.894380974479086</v>
      </c>
      <c r="D114" s="421">
        <v>73.51727636483575</v>
      </c>
      <c r="E114" s="1197">
        <v>1.4215919650758237</v>
      </c>
      <c r="F114" s="1205">
        <v>0.0999544758786642</v>
      </c>
      <c r="G114" s="1206">
        <f t="shared" si="16"/>
        <v>9801.497404824977</v>
      </c>
      <c r="H114" s="1314">
        <f t="shared" si="17"/>
        <v>9.801497404824977</v>
      </c>
      <c r="I114" s="1201">
        <v>98.01497404824977</v>
      </c>
      <c r="K114" s="1224">
        <f t="shared" si="9"/>
        <v>0.6062280951046445</v>
      </c>
      <c r="L114" s="1182">
        <f t="shared" si="10"/>
        <v>15.398193534614848</v>
      </c>
      <c r="M114" s="1199">
        <f t="shared" si="11"/>
        <v>0.29775243708513127</v>
      </c>
      <c r="N114" s="1205">
        <f t="shared" si="12"/>
        <v>0.020935464972786217</v>
      </c>
      <c r="O114" s="1206">
        <f t="shared" si="13"/>
        <v>2052.923631440591</v>
      </c>
      <c r="P114" s="1314">
        <f t="shared" si="14"/>
        <v>2.052923631440591</v>
      </c>
      <c r="Q114" s="1201">
        <f t="shared" si="15"/>
        <v>20.529236314405914</v>
      </c>
    </row>
    <row r="115" spans="1:17" ht="15" customHeight="1">
      <c r="A115" s="1176">
        <v>54000</v>
      </c>
      <c r="B115" s="1220">
        <v>16459.204490070988</v>
      </c>
      <c r="C115" s="1224">
        <v>2.825653166489888</v>
      </c>
      <c r="D115" s="421">
        <v>71.77159005109795</v>
      </c>
      <c r="E115" s="1197">
        <v>1.3878359044617572</v>
      </c>
      <c r="F115" s="1205">
        <v>0.09758103157868357</v>
      </c>
      <c r="G115" s="1206">
        <f t="shared" si="16"/>
        <v>9568.758370957237</v>
      </c>
      <c r="H115" s="1314">
        <f t="shared" si="17"/>
        <v>9.568758370957237</v>
      </c>
      <c r="I115" s="1201">
        <v>95.68758370957237</v>
      </c>
      <c r="K115" s="1224">
        <f t="shared" si="9"/>
        <v>0.5918330557213071</v>
      </c>
      <c r="L115" s="1182">
        <f t="shared" si="10"/>
        <v>15.032559536202465</v>
      </c>
      <c r="M115" s="1199">
        <f t="shared" si="11"/>
        <v>0.29068223018951506</v>
      </c>
      <c r="N115" s="1205">
        <f t="shared" si="12"/>
        <v>0.020438347064155274</v>
      </c>
      <c r="O115" s="1206">
        <f t="shared" si="13"/>
        <v>2004.1764407969933</v>
      </c>
      <c r="P115" s="1314">
        <f t="shared" si="14"/>
        <v>2.0041764407969933</v>
      </c>
      <c r="Q115" s="1201">
        <f t="shared" si="15"/>
        <v>20.041764407969932</v>
      </c>
    </row>
    <row r="116" spans="1:17" ht="15" customHeight="1">
      <c r="A116" s="1176">
        <v>54500</v>
      </c>
      <c r="B116" s="1221">
        <v>16611.604531645717</v>
      </c>
      <c r="C116" s="1224">
        <v>2.758557317676987</v>
      </c>
      <c r="D116" s="421">
        <v>70.06735550021992</v>
      </c>
      <c r="E116" s="1197">
        <v>1.3548813900410945</v>
      </c>
      <c r="F116" s="1205">
        <v>0.09526394531365427</v>
      </c>
      <c r="G116" s="1206">
        <f t="shared" si="16"/>
        <v>9341.545784289188</v>
      </c>
      <c r="H116" s="1314">
        <f t="shared" si="17"/>
        <v>9.341545784289188</v>
      </c>
      <c r="I116" s="1201">
        <v>93.41545784289188</v>
      </c>
      <c r="K116" s="1224">
        <f t="shared" si="9"/>
        <v>0.5777798301874449</v>
      </c>
      <c r="L116" s="1182">
        <f t="shared" si="10"/>
        <v>14.675607609521062</v>
      </c>
      <c r="M116" s="1199">
        <f t="shared" si="11"/>
        <v>0.2837799071441072</v>
      </c>
      <c r="N116" s="1205">
        <f t="shared" si="12"/>
        <v>0.019953033345944886</v>
      </c>
      <c r="O116" s="1206">
        <f t="shared" si="13"/>
        <v>1956.5867645193705</v>
      </c>
      <c r="P116" s="1314">
        <f t="shared" si="14"/>
        <v>1.9565867645193704</v>
      </c>
      <c r="Q116" s="1201">
        <f t="shared" si="15"/>
        <v>19.565867645193705</v>
      </c>
    </row>
    <row r="117" spans="1:17" ht="15" customHeight="1">
      <c r="A117" s="1177">
        <v>55000</v>
      </c>
      <c r="B117" s="1222">
        <v>16764.00457322045</v>
      </c>
      <c r="C117" s="1225">
        <v>2.693054676757154</v>
      </c>
      <c r="D117" s="427">
        <v>68.40358842961282</v>
      </c>
      <c r="E117" s="1198">
        <v>1.322709388896829</v>
      </c>
      <c r="F117" s="1207">
        <v>0.09300187884778809</v>
      </c>
      <c r="G117" s="1208">
        <f t="shared" si="16"/>
        <v>9119.728417934894</v>
      </c>
      <c r="H117" s="1315">
        <f t="shared" si="17"/>
        <v>9.119728417934894</v>
      </c>
      <c r="I117" s="1202">
        <v>91.19728417934894</v>
      </c>
      <c r="K117" s="1225">
        <f t="shared" si="9"/>
        <v>0.5640603020467859</v>
      </c>
      <c r="L117" s="1184">
        <f t="shared" si="10"/>
        <v>14.327131596582406</v>
      </c>
      <c r="M117" s="1198">
        <f t="shared" si="11"/>
        <v>0.27704148150444086</v>
      </c>
      <c r="N117" s="1207">
        <f t="shared" si="12"/>
        <v>0.019479243524669215</v>
      </c>
      <c r="O117" s="1208">
        <f t="shared" si="13"/>
        <v>1910.1271171364633</v>
      </c>
      <c r="P117" s="1315">
        <f t="shared" si="14"/>
        <v>1.9101271171364635</v>
      </c>
      <c r="Q117" s="1202">
        <f t="shared" si="15"/>
        <v>19.101271171364637</v>
      </c>
    </row>
    <row r="118" spans="1:17" ht="15" customHeight="1">
      <c r="A118" s="1178">
        <v>55500</v>
      </c>
      <c r="B118" s="1219">
        <v>16916.40461479518</v>
      </c>
      <c r="C118" s="1223">
        <v>2.629107412606177</v>
      </c>
      <c r="D118" s="421">
        <v>66.77932792872676</v>
      </c>
      <c r="E118" s="1197">
        <v>1.2913013200533794</v>
      </c>
      <c r="F118" s="1205">
        <v>0.0907935257220439</v>
      </c>
      <c r="G118" s="1206">
        <f t="shared" si="16"/>
        <v>8903.178161023998</v>
      </c>
      <c r="H118" s="1314">
        <f t="shared" si="17"/>
        <v>8.903178161023998</v>
      </c>
      <c r="I118" s="1200">
        <v>89.03178161023997</v>
      </c>
      <c r="K118" s="1226">
        <f t="shared" si="9"/>
        <v>0.5506665475703638</v>
      </c>
      <c r="L118" s="1182">
        <f t="shared" si="10"/>
        <v>13.986930234671819</v>
      </c>
      <c r="M118" s="1199">
        <f t="shared" si="11"/>
        <v>0.2704630614851803</v>
      </c>
      <c r="N118" s="1205">
        <f t="shared" si="12"/>
        <v>0.019016703962482093</v>
      </c>
      <c r="O118" s="1206">
        <f t="shared" si="13"/>
        <v>1864.7706658264763</v>
      </c>
      <c r="P118" s="1314">
        <f t="shared" si="14"/>
        <v>1.8647706658264764</v>
      </c>
      <c r="Q118" s="1201">
        <f t="shared" si="15"/>
        <v>18.647706658264763</v>
      </c>
    </row>
    <row r="119" spans="1:17" ht="15" customHeight="1">
      <c r="A119" s="1176">
        <v>56000</v>
      </c>
      <c r="B119" s="1220">
        <v>17068.804656369914</v>
      </c>
      <c r="C119" s="1224">
        <v>2.5666785924094526</v>
      </c>
      <c r="D119" s="421">
        <v>65.1936359040757</v>
      </c>
      <c r="E119" s="1197">
        <v>1.260639043745127</v>
      </c>
      <c r="F119" s="1205">
        <v>0.08863761049958083</v>
      </c>
      <c r="G119" s="1206">
        <f t="shared" si="16"/>
        <v>8691.769944711146</v>
      </c>
      <c r="H119" s="1314">
        <f t="shared" si="17"/>
        <v>8.691769944711146</v>
      </c>
      <c r="I119" s="1201">
        <v>86.91769944711146</v>
      </c>
      <c r="K119" s="1224">
        <f t="shared" si="9"/>
        <v>0.5375908311801598</v>
      </c>
      <c r="L119" s="1182">
        <f t="shared" si="10"/>
        <v>13.654807040108656</v>
      </c>
      <c r="M119" s="1199">
        <f t="shared" si="11"/>
        <v>0.2640408477124168</v>
      </c>
      <c r="N119" s="1205">
        <f t="shared" si="12"/>
        <v>0.018565147519137203</v>
      </c>
      <c r="O119" s="1206">
        <f t="shared" si="13"/>
        <v>1820.4912149197496</v>
      </c>
      <c r="P119" s="1314">
        <f t="shared" si="14"/>
        <v>1.8204912149197494</v>
      </c>
      <c r="Q119" s="1201">
        <f t="shared" si="15"/>
        <v>18.204912149197494</v>
      </c>
    </row>
    <row r="120" spans="1:17" ht="15" customHeight="1">
      <c r="A120" s="1176">
        <v>56500</v>
      </c>
      <c r="B120" s="1220">
        <v>17221.204697944642</v>
      </c>
      <c r="C120" s="1224">
        <v>2.505732160331399</v>
      </c>
      <c r="D120" s="421">
        <v>63.64559653744071</v>
      </c>
      <c r="E120" s="1197">
        <v>1.2307048509397744</v>
      </c>
      <c r="F120" s="1205">
        <v>0.08653288802912829</v>
      </c>
      <c r="G120" s="1206">
        <f t="shared" si="16"/>
        <v>8485.381669942342</v>
      </c>
      <c r="H120" s="1314">
        <f t="shared" si="17"/>
        <v>8.485381669942342</v>
      </c>
      <c r="I120" s="1201">
        <v>84.85381669942342</v>
      </c>
      <c r="K120" s="1224">
        <f t="shared" si="9"/>
        <v>0.5248256009814115</v>
      </c>
      <c r="L120" s="1182">
        <f t="shared" si="10"/>
        <v>13.330570194766956</v>
      </c>
      <c r="M120" s="1199">
        <f t="shared" si="11"/>
        <v>0.25777113102933574</v>
      </c>
      <c r="N120" s="1205">
        <f t="shared" si="12"/>
        <v>0.01812431339770092</v>
      </c>
      <c r="O120" s="1206">
        <f t="shared" si="13"/>
        <v>1777.2631907694235</v>
      </c>
      <c r="P120" s="1314">
        <f t="shared" si="14"/>
        <v>1.7772631907694234</v>
      </c>
      <c r="Q120" s="1201">
        <f t="shared" si="15"/>
        <v>17.772631907694233</v>
      </c>
    </row>
    <row r="121" spans="1:17" ht="15" customHeight="1">
      <c r="A121" s="1176">
        <v>57000</v>
      </c>
      <c r="B121" s="1221">
        <v>17373.604739519375</v>
      </c>
      <c r="C121" s="1224">
        <v>2.446232916691364</v>
      </c>
      <c r="D121" s="421">
        <v>62.13431575693793</v>
      </c>
      <c r="E121" s="1197">
        <v>1.2014814531104734</v>
      </c>
      <c r="F121" s="1205">
        <v>0.08447814272584733</v>
      </c>
      <c r="G121" s="1206">
        <f t="shared" si="16"/>
        <v>8283.894136936495</v>
      </c>
      <c r="H121" s="1314">
        <f t="shared" si="17"/>
        <v>8.283894136936494</v>
      </c>
      <c r="I121" s="1201">
        <v>82.83894136936495</v>
      </c>
      <c r="K121" s="1224">
        <f t="shared" si="9"/>
        <v>0.5123634844010062</v>
      </c>
      <c r="L121" s="1182">
        <f t="shared" si="10"/>
        <v>13.01403243529065</v>
      </c>
      <c r="M121" s="1199">
        <f t="shared" si="11"/>
        <v>0.25165029035398867</v>
      </c>
      <c r="N121" s="1205">
        <f t="shared" si="12"/>
        <v>0.017693946993928723</v>
      </c>
      <c r="O121" s="1206">
        <f t="shared" si="13"/>
        <v>1735.0616269813488</v>
      </c>
      <c r="P121" s="1314">
        <f t="shared" si="14"/>
        <v>1.7350616269813488</v>
      </c>
      <c r="Q121" s="1201">
        <f t="shared" si="15"/>
        <v>17.35061626981349</v>
      </c>
    </row>
    <row r="122" spans="1:17" ht="15" customHeight="1">
      <c r="A122" s="1177">
        <v>57500</v>
      </c>
      <c r="B122" s="1222">
        <v>17526.004781094107</v>
      </c>
      <c r="C122" s="1225">
        <v>2.3881464976340117</v>
      </c>
      <c r="D122" s="427">
        <v>60.65892072064642</v>
      </c>
      <c r="E122" s="1198">
        <v>1.1729519722508155</v>
      </c>
      <c r="F122" s="1207">
        <v>0.08247218786926835</v>
      </c>
      <c r="G122" s="1208">
        <f t="shared" si="16"/>
        <v>8087.190976341445</v>
      </c>
      <c r="H122" s="1315">
        <f t="shared" si="17"/>
        <v>8.087190976341445</v>
      </c>
      <c r="I122" s="1202">
        <v>80.87190976341445</v>
      </c>
      <c r="K122" s="1225">
        <f t="shared" si="9"/>
        <v>0.5001972839294437</v>
      </c>
      <c r="L122" s="1184">
        <f t="shared" si="10"/>
        <v>12.705010944939392</v>
      </c>
      <c r="M122" s="1198">
        <f t="shared" si="11"/>
        <v>0.2456747905879333</v>
      </c>
      <c r="N122" s="1207">
        <f t="shared" si="12"/>
        <v>0.017273799749218256</v>
      </c>
      <c r="O122" s="1208">
        <f t="shared" si="13"/>
        <v>1693.8621499947158</v>
      </c>
      <c r="P122" s="1315">
        <f t="shared" si="14"/>
        <v>1.6938621499947155</v>
      </c>
      <c r="Q122" s="1202">
        <f t="shared" si="15"/>
        <v>16.938621499947157</v>
      </c>
    </row>
    <row r="123" spans="1:17" ht="15" customHeight="1">
      <c r="A123" s="1176">
        <v>58000</v>
      </c>
      <c r="B123" s="1219">
        <v>17678.40482266884</v>
      </c>
      <c r="C123" s="1223">
        <v>2.33143935528244</v>
      </c>
      <c r="D123" s="421">
        <v>59.21855931249735</v>
      </c>
      <c r="E123" s="1197">
        <v>1.1450999311269223</v>
      </c>
      <c r="F123" s="1205">
        <v>0.08051386491789937</v>
      </c>
      <c r="G123" s="1206">
        <f t="shared" si="16"/>
        <v>7895.158582024729</v>
      </c>
      <c r="H123" s="1314">
        <f t="shared" si="17"/>
        <v>7.895158582024729</v>
      </c>
      <c r="I123" s="1200">
        <v>78.95158582024729</v>
      </c>
      <c r="K123" s="1226">
        <f t="shared" si="9"/>
        <v>0.48831997296390706</v>
      </c>
      <c r="L123" s="1182">
        <f t="shared" si="10"/>
        <v>12.403327248002569</v>
      </c>
      <c r="M123" s="1199">
        <f t="shared" si="11"/>
        <v>0.23984118057453388</v>
      </c>
      <c r="N123" s="1205">
        <f t="shared" si="12"/>
        <v>0.016863629007054022</v>
      </c>
      <c r="O123" s="1206">
        <f t="shared" si="13"/>
        <v>1653.6409650050796</v>
      </c>
      <c r="P123" s="1314">
        <f t="shared" si="14"/>
        <v>1.6536409650050794</v>
      </c>
      <c r="Q123" s="1201">
        <f t="shared" si="15"/>
        <v>16.536409650050793</v>
      </c>
    </row>
    <row r="124" spans="1:17" ht="15" customHeight="1">
      <c r="A124" s="1176">
        <v>58500</v>
      </c>
      <c r="B124" s="1220">
        <v>17830.804864243568</v>
      </c>
      <c r="C124" s="1224">
        <v>2.2760787383625654</v>
      </c>
      <c r="D124" s="421">
        <v>57.81239965013338</v>
      </c>
      <c r="E124" s="1197">
        <v>1.117909243761</v>
      </c>
      <c r="F124" s="1205">
        <v>0.07860204284010898</v>
      </c>
      <c r="G124" s="1206">
        <f t="shared" si="16"/>
        <v>7707.686045460216</v>
      </c>
      <c r="H124" s="1314">
        <f t="shared" si="17"/>
        <v>7.707686045460216</v>
      </c>
      <c r="I124" s="1201">
        <v>77.07686045460215</v>
      </c>
      <c r="K124" s="1224">
        <f t="shared" si="9"/>
        <v>0.4767246917500393</v>
      </c>
      <c r="L124" s="1182">
        <f t="shared" si="10"/>
        <v>12.108807106720436</v>
      </c>
      <c r="M124" s="1199">
        <f t="shared" si="11"/>
        <v>0.23414609110574147</v>
      </c>
      <c r="N124" s="1205">
        <f t="shared" si="12"/>
        <v>0.016463197872860824</v>
      </c>
      <c r="O124" s="1206">
        <f t="shared" si="13"/>
        <v>1614.3748422216422</v>
      </c>
      <c r="P124" s="1314">
        <f t="shared" si="14"/>
        <v>1.6143748422216422</v>
      </c>
      <c r="Q124" s="1201">
        <f t="shared" si="15"/>
        <v>16.143748422216422</v>
      </c>
    </row>
    <row r="125" spans="1:17" ht="15" customHeight="1">
      <c r="A125" s="1176">
        <v>59000</v>
      </c>
      <c r="B125" s="1220">
        <v>17983.2049058183</v>
      </c>
      <c r="C125" s="1224">
        <v>2.222032673287586</v>
      </c>
      <c r="D125" s="421">
        <v>56.43962960445401</v>
      </c>
      <c r="E125" s="1197">
        <v>1.0913642061408633</v>
      </c>
      <c r="F125" s="1205">
        <v>0.07673561746089781</v>
      </c>
      <c r="G125" s="1206">
        <f t="shared" si="16"/>
        <v>7524.665091672766</v>
      </c>
      <c r="H125" s="1314">
        <f t="shared" si="17"/>
        <v>7.524665091672766</v>
      </c>
      <c r="I125" s="1201">
        <v>75.24665091672766</v>
      </c>
      <c r="K125" s="1224">
        <f t="shared" si="9"/>
        <v>0.4654047434200849</v>
      </c>
      <c r="L125" s="1182">
        <f t="shared" si="10"/>
        <v>11.821280420652892</v>
      </c>
      <c r="M125" s="1199">
        <f t="shared" si="11"/>
        <v>0.2285862329762038</v>
      </c>
      <c r="N125" s="1205">
        <f t="shared" si="12"/>
        <v>0.016072275077185047</v>
      </c>
      <c r="O125" s="1206">
        <f t="shared" si="13"/>
        <v>1576.0411034508609</v>
      </c>
      <c r="P125" s="1314">
        <f t="shared" si="14"/>
        <v>1.5760411034508608</v>
      </c>
      <c r="Q125" s="1201">
        <f t="shared" si="15"/>
        <v>15.760411034508609</v>
      </c>
    </row>
    <row r="126" spans="1:17" ht="15" customHeight="1">
      <c r="A126" s="1176">
        <v>59500</v>
      </c>
      <c r="B126" s="1221">
        <v>18135.604947393032</v>
      </c>
      <c r="C126" s="1224">
        <v>2.1692699456916045</v>
      </c>
      <c r="D126" s="421">
        <v>55.099456330569616</v>
      </c>
      <c r="E126" s="1197">
        <v>1.0654494871500673</v>
      </c>
      <c r="F126" s="1205">
        <v>0.07491351082418105</v>
      </c>
      <c r="G126" s="1206">
        <f t="shared" si="16"/>
        <v>7345.990016703904</v>
      </c>
      <c r="H126" s="1314">
        <f t="shared" si="17"/>
        <v>7.3459900167039045</v>
      </c>
      <c r="I126" s="1201">
        <v>73.45990016703904</v>
      </c>
      <c r="K126" s="1224">
        <f t="shared" si="9"/>
        <v>0.45435359012510657</v>
      </c>
      <c r="L126" s="1182">
        <f t="shared" si="10"/>
        <v>11.540581128437806</v>
      </c>
      <c r="M126" s="1199">
        <f t="shared" si="11"/>
        <v>0.2231583950835816</v>
      </c>
      <c r="N126" s="1205">
        <f t="shared" si="12"/>
        <v>0.01569063484212472</v>
      </c>
      <c r="O126" s="1206">
        <f t="shared" si="13"/>
        <v>1538.6176089986327</v>
      </c>
      <c r="P126" s="1314">
        <f t="shared" si="14"/>
        <v>1.5386176089986328</v>
      </c>
      <c r="Q126" s="1201">
        <f t="shared" si="15"/>
        <v>15.386176089986327</v>
      </c>
    </row>
    <row r="127" spans="1:17" ht="15" customHeight="1">
      <c r="A127" s="1177">
        <v>60000</v>
      </c>
      <c r="B127" s="1222">
        <v>18288.004988967765</v>
      </c>
      <c r="C127" s="1225">
        <v>2.1177600824017304</v>
      </c>
      <c r="D127" s="427">
        <v>53.79110580989287</v>
      </c>
      <c r="E127" s="1198">
        <v>1.040150119713402</v>
      </c>
      <c r="F127" s="1207">
        <v>0.07313467057021357</v>
      </c>
      <c r="G127" s="1208">
        <f t="shared" si="16"/>
        <v>7171.557626562362</v>
      </c>
      <c r="H127" s="1315">
        <f t="shared" si="17"/>
        <v>7.171557626562362</v>
      </c>
      <c r="I127" s="1202">
        <v>71.71557626562362</v>
      </c>
      <c r="K127" s="1225">
        <f t="shared" si="9"/>
        <v>0.44356484925904244</v>
      </c>
      <c r="L127" s="1184">
        <f t="shared" si="10"/>
        <v>11.266547111882062</v>
      </c>
      <c r="M127" s="1198">
        <f t="shared" si="11"/>
        <v>0.21785944257397205</v>
      </c>
      <c r="N127" s="1207">
        <f t="shared" si="12"/>
        <v>0.015318056750931232</v>
      </c>
      <c r="O127" s="1208">
        <f t="shared" si="13"/>
        <v>1502.0827448834868</v>
      </c>
      <c r="P127" s="1315">
        <f t="shared" si="14"/>
        <v>1.5020827448834866</v>
      </c>
      <c r="Q127" s="1202">
        <f t="shared" si="15"/>
        <v>15.020827448834869</v>
      </c>
    </row>
    <row r="128" spans="1:17" ht="15" customHeight="1">
      <c r="A128" s="1178">
        <v>60500</v>
      </c>
      <c r="B128" s="1219">
        <v>18440.405030542493</v>
      </c>
      <c r="C128" s="1223">
        <v>2.06747333383827</v>
      </c>
      <c r="D128" s="421">
        <v>52.513822403103525</v>
      </c>
      <c r="E128" s="1197">
        <v>1.0154514921526439</v>
      </c>
      <c r="F128" s="1205">
        <v>0.07139806932779852</v>
      </c>
      <c r="G128" s="1206">
        <f t="shared" si="16"/>
        <v>7001.267177624295</v>
      </c>
      <c r="H128" s="1314">
        <f t="shared" si="17"/>
        <v>7.001267177624295</v>
      </c>
      <c r="I128" s="1200">
        <v>70.01267177624295</v>
      </c>
      <c r="K128" s="1226">
        <f t="shared" si="9"/>
        <v>0.43303228977242564</v>
      </c>
      <c r="L128" s="1182">
        <f t="shared" si="10"/>
        <v>10.999020102330034</v>
      </c>
      <c r="M128" s="1199">
        <f t="shared" si="11"/>
        <v>0.21268631503137125</v>
      </c>
      <c r="N128" s="1205">
        <f t="shared" si="12"/>
        <v>0.0149543256207074</v>
      </c>
      <c r="O128" s="1206">
        <f t="shared" si="13"/>
        <v>1466.4154103534086</v>
      </c>
      <c r="P128" s="1314">
        <f t="shared" si="14"/>
        <v>1.4664154103534086</v>
      </c>
      <c r="Q128" s="1201">
        <f t="shared" si="15"/>
        <v>14.664154103534086</v>
      </c>
    </row>
    <row r="129" spans="1:17" ht="15" customHeight="1">
      <c r="A129" s="1176">
        <v>61000</v>
      </c>
      <c r="B129" s="1220">
        <v>18592.805072117226</v>
      </c>
      <c r="C129" s="1224">
        <v>2.018380656832819</v>
      </c>
      <c r="D129" s="421">
        <v>51.26686841372798</v>
      </c>
      <c r="E129" s="1197">
        <v>0.9913393397475609</v>
      </c>
      <c r="F129" s="1205">
        <v>0.0697027041209278</v>
      </c>
      <c r="G129" s="1206">
        <f t="shared" si="16"/>
        <v>6835.020318448667</v>
      </c>
      <c r="H129" s="1314">
        <f t="shared" si="17"/>
        <v>6.8350203184486675</v>
      </c>
      <c r="I129" s="1201">
        <v>68.35020318448667</v>
      </c>
      <c r="K129" s="1224">
        <f t="shared" si="9"/>
        <v>0.4227498285736339</v>
      </c>
      <c r="L129" s="1182">
        <f t="shared" si="10"/>
        <v>10.737845589255324</v>
      </c>
      <c r="M129" s="1199">
        <f t="shared" si="11"/>
        <v>0.20763602471012663</v>
      </c>
      <c r="N129" s="1205">
        <f t="shared" si="12"/>
        <v>0.014599231378128328</v>
      </c>
      <c r="O129" s="1206">
        <f t="shared" si="13"/>
        <v>1431.5950056990732</v>
      </c>
      <c r="P129" s="1314">
        <f t="shared" si="14"/>
        <v>1.4315950056990734</v>
      </c>
      <c r="Q129" s="1201">
        <f t="shared" si="15"/>
        <v>14.315950056990733</v>
      </c>
    </row>
    <row r="130" spans="1:17" ht="15" customHeight="1">
      <c r="A130" s="1176">
        <v>61500</v>
      </c>
      <c r="B130" s="1220">
        <v>18745.205113691958</v>
      </c>
      <c r="C130" s="1224">
        <v>1.9704536978543514</v>
      </c>
      <c r="D130" s="421">
        <v>50.04952366208198</v>
      </c>
      <c r="E130" s="1197">
        <v>0.9677997364973115</v>
      </c>
      <c r="F130" s="1205">
        <v>0.06804759578951226</v>
      </c>
      <c r="G130" s="1206">
        <f t="shared" si="16"/>
        <v>6672.721032974286</v>
      </c>
      <c r="H130" s="1314">
        <f t="shared" si="17"/>
        <v>6.672721032974286</v>
      </c>
      <c r="I130" s="1201">
        <v>66.72721032974286</v>
      </c>
      <c r="K130" s="1224">
        <f t="shared" si="9"/>
        <v>0.4127115270155939</v>
      </c>
      <c r="L130" s="1182">
        <f t="shared" si="10"/>
        <v>10.48287273102307</v>
      </c>
      <c r="M130" s="1199">
        <f t="shared" si="11"/>
        <v>0.2027056548093619</v>
      </c>
      <c r="N130" s="1205">
        <f t="shared" si="12"/>
        <v>0.014252568938113344</v>
      </c>
      <c r="O130" s="1206">
        <f t="shared" si="13"/>
        <v>1397.6014203564641</v>
      </c>
      <c r="P130" s="1314">
        <f t="shared" si="14"/>
        <v>1.3976014203564642</v>
      </c>
      <c r="Q130" s="1201">
        <f t="shared" si="15"/>
        <v>13.976014203564642</v>
      </c>
    </row>
    <row r="131" spans="1:17" ht="15" customHeight="1">
      <c r="A131" s="1176">
        <v>62000</v>
      </c>
      <c r="B131" s="1221">
        <v>18897.60515526669</v>
      </c>
      <c r="C131" s="1224">
        <v>1.923664776633602</v>
      </c>
      <c r="D131" s="421">
        <v>48.86108506932989</v>
      </c>
      <c r="E131" s="1197">
        <v>0.9448190870774631</v>
      </c>
      <c r="F131" s="1205">
        <v>0.06643178842386654</v>
      </c>
      <c r="G131" s="1206">
        <f t="shared" si="16"/>
        <v>6514.275585065593</v>
      </c>
      <c r="H131" s="1314">
        <f t="shared" si="17"/>
        <v>6.514275585065593</v>
      </c>
      <c r="I131" s="1201">
        <v>65.14275585065593</v>
      </c>
      <c r="K131" s="1224">
        <f t="shared" si="9"/>
        <v>0.40291158746590794</v>
      </c>
      <c r="L131" s="1182">
        <f t="shared" si="10"/>
        <v>10.233954267771145</v>
      </c>
      <c r="M131" s="1199">
        <f t="shared" si="11"/>
        <v>0.19789235778837463</v>
      </c>
      <c r="N131" s="1205">
        <f t="shared" si="12"/>
        <v>0.013914138085378848</v>
      </c>
      <c r="O131" s="1206">
        <f t="shared" si="13"/>
        <v>1364.4150212919885</v>
      </c>
      <c r="P131" s="1314">
        <f t="shared" si="14"/>
        <v>1.3644150212919883</v>
      </c>
      <c r="Q131" s="1201">
        <f t="shared" si="15"/>
        <v>13.644150212919884</v>
      </c>
    </row>
    <row r="132" spans="1:17" ht="15" customHeight="1">
      <c r="A132" s="1177">
        <v>62500</v>
      </c>
      <c r="B132" s="1222">
        <v>19050.00519684142</v>
      </c>
      <c r="C132" s="1225">
        <v>1.8779868701762974</v>
      </c>
      <c r="D132" s="427">
        <v>47.70086625142076</v>
      </c>
      <c r="E132" s="1198">
        <v>0.9223841189879993</v>
      </c>
      <c r="F132" s="1207">
        <v>0.06485434881262248</v>
      </c>
      <c r="G132" s="1208">
        <f t="shared" si="16"/>
        <v>6359.592464375275</v>
      </c>
      <c r="H132" s="1315">
        <f t="shared" si="17"/>
        <v>6.359592464375275</v>
      </c>
      <c r="I132" s="1202">
        <v>63.59592464375275</v>
      </c>
      <c r="K132" s="1225">
        <f t="shared" si="9"/>
        <v>0.3933443499584255</v>
      </c>
      <c r="L132" s="1184">
        <f t="shared" si="10"/>
        <v>9.990946436360078</v>
      </c>
      <c r="M132" s="1198">
        <f t="shared" si="11"/>
        <v>0.19319335372203644</v>
      </c>
      <c r="N132" s="1207">
        <f t="shared" si="12"/>
        <v>0.013583743358803777</v>
      </c>
      <c r="O132" s="1208">
        <f t="shared" si="13"/>
        <v>1332.0166416634013</v>
      </c>
      <c r="P132" s="1315">
        <f t="shared" si="14"/>
        <v>1.3320166416634014</v>
      </c>
      <c r="Q132" s="1202">
        <f t="shared" si="15"/>
        <v>13.320166416634013</v>
      </c>
    </row>
    <row r="133" spans="1:17" ht="15" customHeight="1">
      <c r="A133" s="1178">
        <v>63000</v>
      </c>
      <c r="B133" s="1219">
        <v>19202.40523841615</v>
      </c>
      <c r="C133" s="1223">
        <v>1.833393597155996</v>
      </c>
      <c r="D133" s="421">
        <v>46.568197122666525</v>
      </c>
      <c r="E133" s="1197">
        <v>0.9004818748877726</v>
      </c>
      <c r="F133" s="1205">
        <v>0.06331436590375175</v>
      </c>
      <c r="G133" s="1206">
        <f t="shared" si="16"/>
        <v>6208.58233349235</v>
      </c>
      <c r="H133" s="1314">
        <f t="shared" si="17"/>
        <v>6.20858233349235</v>
      </c>
      <c r="I133" s="1200">
        <v>62.0858233349235</v>
      </c>
      <c r="K133" s="1226">
        <f t="shared" si="9"/>
        <v>0.38400428892432337</v>
      </c>
      <c r="L133" s="1182">
        <f t="shared" si="10"/>
        <v>9.753708887342503</v>
      </c>
      <c r="M133" s="1199">
        <f t="shared" si="11"/>
        <v>0.18860592869524398</v>
      </c>
      <c r="N133" s="1205">
        <f t="shared" si="12"/>
        <v>0.013261193938540803</v>
      </c>
      <c r="O133" s="1206">
        <f t="shared" si="13"/>
        <v>1300.3875697499727</v>
      </c>
      <c r="P133" s="1314">
        <f t="shared" si="14"/>
        <v>1.3003875697499727</v>
      </c>
      <c r="Q133" s="1201">
        <f t="shared" si="15"/>
        <v>13.003875697499726</v>
      </c>
    </row>
    <row r="134" spans="1:17" ht="15" customHeight="1">
      <c r="A134" s="1176">
        <v>63500</v>
      </c>
      <c r="B134" s="1220">
        <v>19354.805279990884</v>
      </c>
      <c r="C134" s="1224">
        <v>1.7898592026775226</v>
      </c>
      <c r="D134" s="421">
        <v>45.46242350873317</v>
      </c>
      <c r="E134" s="1197">
        <v>0.879099705110977</v>
      </c>
      <c r="F134" s="1205">
        <v>0.06181095027838682</v>
      </c>
      <c r="G134" s="1206">
        <f t="shared" si="16"/>
        <v>6061.157976345247</v>
      </c>
      <c r="H134" s="1314">
        <f t="shared" si="17"/>
        <v>6.061157976345247</v>
      </c>
      <c r="I134" s="1201">
        <v>60.611579763452475</v>
      </c>
      <c r="K134" s="1224">
        <f t="shared" si="9"/>
        <v>0.3748860100008071</v>
      </c>
      <c r="L134" s="1182">
        <f t="shared" si="10"/>
        <v>9.522104603904161</v>
      </c>
      <c r="M134" s="1199">
        <f t="shared" si="11"/>
        <v>0.18412743323549413</v>
      </c>
      <c r="N134" s="1205">
        <f t="shared" si="12"/>
        <v>0.01294630353580812</v>
      </c>
      <c r="O134" s="1206">
        <f t="shared" si="13"/>
        <v>1269.5095381455121</v>
      </c>
      <c r="P134" s="1314">
        <f t="shared" si="14"/>
        <v>1.269509538145512</v>
      </c>
      <c r="Q134" s="1201">
        <f t="shared" si="15"/>
        <v>12.69509538145512</v>
      </c>
    </row>
    <row r="135" spans="1:17" ht="15" customHeight="1">
      <c r="A135" s="1176">
        <v>64000</v>
      </c>
      <c r="B135" s="1220">
        <v>19507.205321565612</v>
      </c>
      <c r="C135" s="1224">
        <v>1.7473585434021974</v>
      </c>
      <c r="D135" s="421">
        <v>44.38290676882157</v>
      </c>
      <c r="E135" s="1197">
        <v>0.8582252603613181</v>
      </c>
      <c r="F135" s="1205">
        <v>0.060343233637135965</v>
      </c>
      <c r="G135" s="1206">
        <f t="shared" si="16"/>
        <v>5917.23424783006</v>
      </c>
      <c r="H135" s="1314">
        <f t="shared" si="17"/>
        <v>5.91723424783006</v>
      </c>
      <c r="I135" s="1201">
        <v>59.1723424783006</v>
      </c>
      <c r="K135" s="1224">
        <f aca="true" t="shared" si="18" ref="K135:K198">C135*$S$7</f>
        <v>0.36598424691559023</v>
      </c>
      <c r="L135" s="1182">
        <f aca="true" t="shared" si="19" ref="L135:L198">D135*$S$7</f>
        <v>9.295999822729678</v>
      </c>
      <c r="M135" s="1199">
        <f aca="true" t="shared" si="20" ref="M135:M198">E135*$S$7</f>
        <v>0.17975528078267808</v>
      </c>
      <c r="N135" s="1205">
        <f aca="true" t="shared" si="21" ref="N135:N198">F135*$S$7</f>
        <v>0.012638890285298127</v>
      </c>
      <c r="O135" s="1206">
        <f aca="true" t="shared" si="22" ref="O135:O198">G135*$S$7</f>
        <v>1239.364713208006</v>
      </c>
      <c r="P135" s="1314">
        <f aca="true" t="shared" si="23" ref="P135:P198">H135*$S$7</f>
        <v>1.2393647132080061</v>
      </c>
      <c r="Q135" s="1201">
        <f aca="true" t="shared" si="24" ref="Q135:Q198">I135*$S$7</f>
        <v>12.39364713208006</v>
      </c>
    </row>
    <row r="136" spans="1:17" ht="15" customHeight="1">
      <c r="A136" s="1176">
        <v>64500</v>
      </c>
      <c r="B136" s="1221">
        <v>19659.605363140345</v>
      </c>
      <c r="C136" s="1224">
        <v>1.7058670730262757</v>
      </c>
      <c r="D136" s="421">
        <v>43.329023426819916</v>
      </c>
      <c r="E136" s="1197">
        <v>0.837846484579665</v>
      </c>
      <c r="F136" s="1205">
        <v>0.05891036829859608</v>
      </c>
      <c r="G136" s="1206">
        <f aca="true" t="shared" si="25" ref="G136:G199">I136*100</f>
        <v>5776.7280246349055</v>
      </c>
      <c r="H136" s="1314">
        <f aca="true" t="shared" si="26" ref="H136:H199">G136/1000</f>
        <v>5.776728024634905</v>
      </c>
      <c r="I136" s="1201">
        <v>57.76728024634905</v>
      </c>
      <c r="K136" s="1224">
        <f t="shared" si="18"/>
        <v>0.35729385844535344</v>
      </c>
      <c r="L136" s="1182">
        <f t="shared" si="19"/>
        <v>9.075263956747431</v>
      </c>
      <c r="M136" s="1199">
        <f t="shared" si="20"/>
        <v>0.17548694619521085</v>
      </c>
      <c r="N136" s="1205">
        <f t="shared" si="21"/>
        <v>0.01233877664014095</v>
      </c>
      <c r="O136" s="1206">
        <f t="shared" si="22"/>
        <v>1209.935684759781</v>
      </c>
      <c r="P136" s="1314">
        <f t="shared" si="23"/>
        <v>1.2099356847597809</v>
      </c>
      <c r="Q136" s="1201">
        <f t="shared" si="24"/>
        <v>12.099356847597809</v>
      </c>
    </row>
    <row r="137" spans="1:17" ht="15" customHeight="1">
      <c r="A137" s="1177">
        <v>65000</v>
      </c>
      <c r="B137" s="1222">
        <v>19812.005404715077</v>
      </c>
      <c r="C137" s="1225">
        <v>1.6653608281042003</v>
      </c>
      <c r="D137" s="427">
        <v>42.300164811214245</v>
      </c>
      <c r="E137" s="1198">
        <v>0.8179516079810585</v>
      </c>
      <c r="F137" s="1207">
        <v>0.05751152670977327</v>
      </c>
      <c r="G137" s="1208">
        <f t="shared" si="25"/>
        <v>5639.558157231952</v>
      </c>
      <c r="H137" s="1315">
        <f t="shared" si="26"/>
        <v>5.639558157231952</v>
      </c>
      <c r="I137" s="1202">
        <v>56.395581572319514</v>
      </c>
      <c r="K137" s="1225">
        <f t="shared" si="18"/>
        <v>0.34880982544642475</v>
      </c>
      <c r="L137" s="1184">
        <f t="shared" si="19"/>
        <v>8.859769519708824</v>
      </c>
      <c r="M137" s="1198">
        <f t="shared" si="20"/>
        <v>0.1713199642916327</v>
      </c>
      <c r="N137" s="1207">
        <f t="shared" si="21"/>
        <v>0.012045789269362011</v>
      </c>
      <c r="O137" s="1208">
        <f t="shared" si="22"/>
        <v>1181.2054560322322</v>
      </c>
      <c r="P137" s="1315">
        <f t="shared" si="23"/>
        <v>1.1812054560322323</v>
      </c>
      <c r="Q137" s="1202">
        <f t="shared" si="24"/>
        <v>11.812054560322322</v>
      </c>
    </row>
    <row r="138" spans="1:17" ht="15" customHeight="1">
      <c r="A138" s="1178">
        <v>65500</v>
      </c>
      <c r="B138" s="1219">
        <v>19964.40544628981</v>
      </c>
      <c r="C138" s="1223">
        <v>1.6258164142084879</v>
      </c>
      <c r="D138" s="421">
        <v>41.295736703549615</v>
      </c>
      <c r="E138" s="1197">
        <v>0.7985291402570592</v>
      </c>
      <c r="F138" s="1205">
        <v>0.05614590096812871</v>
      </c>
      <c r="G138" s="1206">
        <f t="shared" si="25"/>
        <v>5505.645423009427</v>
      </c>
      <c r="H138" s="1314">
        <f t="shared" si="26"/>
        <v>5.505645423009427</v>
      </c>
      <c r="I138" s="1200">
        <v>55.05645423009427</v>
      </c>
      <c r="K138" s="1226">
        <f t="shared" si="18"/>
        <v>0.3405272479559678</v>
      </c>
      <c r="L138" s="1182">
        <f t="shared" si="19"/>
        <v>8.649392052558467</v>
      </c>
      <c r="M138" s="1199">
        <f t="shared" si="20"/>
        <v>0.16725192842684106</v>
      </c>
      <c r="N138" s="1205">
        <f t="shared" si="21"/>
        <v>0.011759758957774558</v>
      </c>
      <c r="O138" s="1206">
        <f t="shared" si="22"/>
        <v>1153.1574338493244</v>
      </c>
      <c r="P138" s="1314">
        <f t="shared" si="23"/>
        <v>1.1531574338493245</v>
      </c>
      <c r="Q138" s="1201">
        <f t="shared" si="24"/>
        <v>11.531574338493245</v>
      </c>
    </row>
    <row r="139" spans="1:17" ht="15" customHeight="1">
      <c r="A139" s="1176">
        <v>66000</v>
      </c>
      <c r="B139" s="1220">
        <v>20116.805487864538</v>
      </c>
      <c r="C139" s="1224">
        <v>1.587252809018425</v>
      </c>
      <c r="D139" s="421">
        <v>40.31622113687736</v>
      </c>
      <c r="E139" s="1197">
        <v>0.7795884024046705</v>
      </c>
      <c r="F139" s="1205">
        <v>0.05481414644833603</v>
      </c>
      <c r="G139" s="1206">
        <f t="shared" si="25"/>
        <v>5375.054087755393</v>
      </c>
      <c r="H139" s="1314">
        <f t="shared" si="26"/>
        <v>5.375054087755393</v>
      </c>
      <c r="I139" s="1201">
        <v>53.75054087755393</v>
      </c>
      <c r="K139" s="1224">
        <f t="shared" si="18"/>
        <v>0.33245010084890914</v>
      </c>
      <c r="L139" s="1182">
        <f t="shared" si="19"/>
        <v>8.444232517118962</v>
      </c>
      <c r="M139" s="1199">
        <f t="shared" si="20"/>
        <v>0.16328479088365824</v>
      </c>
      <c r="N139" s="1205">
        <f t="shared" si="21"/>
        <v>0.01148082297360398</v>
      </c>
      <c r="O139" s="1206">
        <f t="shared" si="22"/>
        <v>1125.8050786803672</v>
      </c>
      <c r="P139" s="1314">
        <f t="shared" si="23"/>
        <v>1.125805078680367</v>
      </c>
      <c r="Q139" s="1201">
        <f t="shared" si="24"/>
        <v>11.25805078680367</v>
      </c>
    </row>
    <row r="140" spans="1:17" ht="15" customHeight="1">
      <c r="A140" s="1176">
        <v>66500</v>
      </c>
      <c r="B140" s="1220">
        <v>20269.20552943927</v>
      </c>
      <c r="C140" s="1224">
        <v>1.5495962221137933</v>
      </c>
      <c r="D140" s="421">
        <v>39.35974383453381</v>
      </c>
      <c r="E140" s="1197">
        <v>0.7610931518319852</v>
      </c>
      <c r="F140" s="1205">
        <v>0.053513714873978664</v>
      </c>
      <c r="G140" s="1206">
        <f t="shared" si="25"/>
        <v>5247.534268465971</v>
      </c>
      <c r="H140" s="1314">
        <f t="shared" si="26"/>
        <v>5.247534268465971</v>
      </c>
      <c r="I140" s="1201">
        <v>52.47534268465971</v>
      </c>
      <c r="K140" s="1224">
        <f t="shared" si="18"/>
        <v>0.32456292872173403</v>
      </c>
      <c r="L140" s="1182">
        <f t="shared" si="19"/>
        <v>8.243898346143107</v>
      </c>
      <c r="M140" s="1199">
        <f t="shared" si="20"/>
        <v>0.1594109606512093</v>
      </c>
      <c r="N140" s="1205">
        <f t="shared" si="21"/>
        <v>0.011208447580354832</v>
      </c>
      <c r="O140" s="1206">
        <f t="shared" si="22"/>
        <v>1099.0960525301975</v>
      </c>
      <c r="P140" s="1314">
        <f t="shared" si="23"/>
        <v>1.0990960525301976</v>
      </c>
      <c r="Q140" s="1201">
        <f t="shared" si="24"/>
        <v>10.990960525301976</v>
      </c>
    </row>
    <row r="141" spans="1:17" ht="15" customHeight="1">
      <c r="A141" s="1176">
        <v>67000</v>
      </c>
      <c r="B141" s="1221">
        <v>20421.605571014003</v>
      </c>
      <c r="C141" s="1224">
        <v>1.5128585253395208</v>
      </c>
      <c r="D141" s="421">
        <v>38.42660634137854</v>
      </c>
      <c r="E141" s="1197">
        <v>0.7430492194643407</v>
      </c>
      <c r="F141" s="1205">
        <v>0.05224501622703479</v>
      </c>
      <c r="G141" s="1206">
        <f t="shared" si="25"/>
        <v>5123.126167816026</v>
      </c>
      <c r="H141" s="1314">
        <f t="shared" si="26"/>
        <v>5.123126167816026</v>
      </c>
      <c r="I141" s="1201">
        <v>51.231261678160266</v>
      </c>
      <c r="K141" s="1224">
        <f t="shared" si="18"/>
        <v>0.31686821813236266</v>
      </c>
      <c r="L141" s="1182">
        <f t="shared" si="19"/>
        <v>8.048452698201734</v>
      </c>
      <c r="M141" s="1199">
        <f t="shared" si="20"/>
        <v>0.15563165901680615</v>
      </c>
      <c r="N141" s="1205">
        <f t="shared" si="21"/>
        <v>0.010942718648752438</v>
      </c>
      <c r="O141" s="1206">
        <f t="shared" si="22"/>
        <v>1073.0387758490667</v>
      </c>
      <c r="P141" s="1314">
        <f t="shared" si="23"/>
        <v>1.0730387758490667</v>
      </c>
      <c r="Q141" s="1201">
        <f t="shared" si="24"/>
        <v>10.730387758490668</v>
      </c>
    </row>
    <row r="142" spans="1:17" ht="15" customHeight="1">
      <c r="A142" s="1177">
        <v>67500</v>
      </c>
      <c r="B142" s="1222">
        <v>20574.005612588735</v>
      </c>
      <c r="C142" s="1225">
        <v>1.477016674432362</v>
      </c>
      <c r="D142" s="427">
        <v>37.51622333312819</v>
      </c>
      <c r="E142" s="1198">
        <v>0.7254452869784893</v>
      </c>
      <c r="F142" s="1207">
        <v>0.051007254697528114</v>
      </c>
      <c r="G142" s="1208">
        <f t="shared" si="25"/>
        <v>5001.751748985808</v>
      </c>
      <c r="H142" s="1315">
        <f t="shared" si="26"/>
        <v>5.001751748985808</v>
      </c>
      <c r="I142" s="1202">
        <v>50.01751748985808</v>
      </c>
      <c r="K142" s="1225">
        <f t="shared" si="18"/>
        <v>0.30936114245985824</v>
      </c>
      <c r="L142" s="1184">
        <f t="shared" si="19"/>
        <v>7.857772977123699</v>
      </c>
      <c r="M142" s="1198">
        <f t="shared" si="20"/>
        <v>0.15194451535764458</v>
      </c>
      <c r="N142" s="1207">
        <f t="shared" si="21"/>
        <v>0.010683469496397263</v>
      </c>
      <c r="O142" s="1208">
        <f t="shared" si="22"/>
        <v>1047.6169038250775</v>
      </c>
      <c r="P142" s="1315">
        <f t="shared" si="23"/>
        <v>1.0476169038250776</v>
      </c>
      <c r="Q142" s="1202">
        <f t="shared" si="24"/>
        <v>10.476169038250774</v>
      </c>
    </row>
    <row r="143" spans="1:17" ht="15" customHeight="1">
      <c r="A143" s="1178">
        <v>68000</v>
      </c>
      <c r="B143" s="1219">
        <v>20726.405654163464</v>
      </c>
      <c r="C143" s="1223">
        <v>1.4420482186098675</v>
      </c>
      <c r="D143" s="421">
        <v>36.62802455991156</v>
      </c>
      <c r="E143" s="1197">
        <v>0.7082703275427109</v>
      </c>
      <c r="F143" s="1205">
        <v>0.049799654970732396</v>
      </c>
      <c r="G143" s="1206">
        <f t="shared" si="25"/>
        <v>4883.334984911893</v>
      </c>
      <c r="H143" s="1314">
        <f t="shared" si="26"/>
        <v>4.883334984911893</v>
      </c>
      <c r="I143" s="1200">
        <v>48.83334984911893</v>
      </c>
      <c r="K143" s="1226">
        <f t="shared" si="18"/>
        <v>0.30203699938783674</v>
      </c>
      <c r="L143" s="1182">
        <f t="shared" si="19"/>
        <v>7.671739744073476</v>
      </c>
      <c r="M143" s="1199">
        <f t="shared" si="20"/>
        <v>0.1483472201038208</v>
      </c>
      <c r="N143" s="1205">
        <f t="shared" si="21"/>
        <v>0.0104305377336199</v>
      </c>
      <c r="O143" s="1206">
        <f t="shared" si="22"/>
        <v>1022.814512589796</v>
      </c>
      <c r="P143" s="1314">
        <f t="shared" si="23"/>
        <v>1.022814512589796</v>
      </c>
      <c r="Q143" s="1201">
        <f t="shared" si="24"/>
        <v>10.22814512589796</v>
      </c>
    </row>
    <row r="144" spans="1:17" ht="15" customHeight="1">
      <c r="A144" s="1176">
        <v>68500</v>
      </c>
      <c r="B144" s="1220">
        <v>20878.805695738196</v>
      </c>
      <c r="C144" s="1224">
        <v>1.4079312848855186</v>
      </c>
      <c r="D144" s="421">
        <v>35.761454447873994</v>
      </c>
      <c r="E144" s="1197">
        <v>0.6915135981131002</v>
      </c>
      <c r="F144" s="1205">
        <v>0.04862146168551079</v>
      </c>
      <c r="G144" s="1206">
        <f t="shared" si="25"/>
        <v>4767.801805172148</v>
      </c>
      <c r="H144" s="1314">
        <f t="shared" si="26"/>
        <v>4.767801805172148</v>
      </c>
      <c r="I144" s="1201">
        <v>47.67801805172148</v>
      </c>
      <c r="K144" s="1224">
        <f t="shared" si="18"/>
        <v>0.29489120761927184</v>
      </c>
      <c r="L144" s="1182">
        <f t="shared" si="19"/>
        <v>7.490236634107208</v>
      </c>
      <c r="M144" s="1199">
        <f t="shared" si="20"/>
        <v>0.14483752312478884</v>
      </c>
      <c r="N144" s="1205">
        <f t="shared" si="21"/>
        <v>0.010183765150030236</v>
      </c>
      <c r="O144" s="1206">
        <f t="shared" si="22"/>
        <v>998.6160880933064</v>
      </c>
      <c r="P144" s="1314">
        <f t="shared" si="23"/>
        <v>0.9986160880933064</v>
      </c>
      <c r="Q144" s="1201">
        <f t="shared" si="24"/>
        <v>9.986160880933063</v>
      </c>
    </row>
    <row r="145" spans="1:17" ht="15" customHeight="1">
      <c r="A145" s="1176">
        <v>69000</v>
      </c>
      <c r="B145" s="1220">
        <v>21031.20573731293</v>
      </c>
      <c r="C145" s="1224">
        <v>1.374644562808974</v>
      </c>
      <c r="D145" s="421">
        <v>34.91597171157967</v>
      </c>
      <c r="E145" s="1197">
        <v>0.6751646319386511</v>
      </c>
      <c r="F145" s="1205">
        <v>0.04747193890733589</v>
      </c>
      <c r="G145" s="1206">
        <f t="shared" si="25"/>
        <v>4655.080044310276</v>
      </c>
      <c r="H145" s="1314">
        <f t="shared" si="26"/>
        <v>4.655080044310276</v>
      </c>
      <c r="I145" s="1201">
        <v>46.550800443102766</v>
      </c>
      <c r="K145" s="1224">
        <f t="shared" si="18"/>
        <v>0.28791930368033963</v>
      </c>
      <c r="L145" s="1182">
        <f t="shared" si="19"/>
        <v>7.313150274990362</v>
      </c>
      <c r="M145" s="1199">
        <f t="shared" si="20"/>
        <v>0.14141323215955046</v>
      </c>
      <c r="N145" s="1205">
        <f t="shared" si="21"/>
        <v>0.009942997604141503</v>
      </c>
      <c r="O145" s="1206">
        <f t="shared" si="22"/>
        <v>975.0065152807873</v>
      </c>
      <c r="P145" s="1314">
        <f t="shared" si="23"/>
        <v>0.9750065152807873</v>
      </c>
      <c r="Q145" s="1201">
        <f t="shared" si="24"/>
        <v>9.750065152807874</v>
      </c>
    </row>
    <row r="146" spans="1:17" ht="15" customHeight="1">
      <c r="A146" s="1176">
        <v>69500</v>
      </c>
      <c r="B146" s="1221">
        <v>21183.60577888766</v>
      </c>
      <c r="C146" s="1224">
        <v>1.342167289619576</v>
      </c>
      <c r="D146" s="421">
        <v>34.091048976910656</v>
      </c>
      <c r="E146" s="1197">
        <v>0.6592132312693145</v>
      </c>
      <c r="F146" s="1205">
        <v>0.0463503696155813</v>
      </c>
      <c r="G146" s="1206">
        <f t="shared" si="25"/>
        <v>4545.099391559833</v>
      </c>
      <c r="H146" s="1314">
        <f t="shared" si="26"/>
        <v>4.545099391559833</v>
      </c>
      <c r="I146" s="1201">
        <v>45.450993915598325</v>
      </c>
      <c r="K146" s="1224">
        <f t="shared" si="18"/>
        <v>0.28111693881082017</v>
      </c>
      <c r="L146" s="1182">
        <f t="shared" si="19"/>
        <v>7.140370208213937</v>
      </c>
      <c r="M146" s="1199">
        <f t="shared" si="20"/>
        <v>0.13807221128935793</v>
      </c>
      <c r="N146" s="1205">
        <f t="shared" si="21"/>
        <v>0.009708084915983503</v>
      </c>
      <c r="O146" s="1206">
        <f t="shared" si="22"/>
        <v>951.9710675622069</v>
      </c>
      <c r="P146" s="1314">
        <f t="shared" si="23"/>
        <v>0.9519710675622071</v>
      </c>
      <c r="Q146" s="1201">
        <f t="shared" si="24"/>
        <v>9.519710675622068</v>
      </c>
    </row>
    <row r="147" spans="1:17" ht="15" customHeight="1">
      <c r="A147" s="1177">
        <v>70000</v>
      </c>
      <c r="B147" s="1222">
        <v>21336.00582046239</v>
      </c>
      <c r="C147" s="1225">
        <v>1.3104792358016983</v>
      </c>
      <c r="D147" s="427">
        <v>33.28617241417276</v>
      </c>
      <c r="E147" s="1198">
        <v>0.6436494602614248</v>
      </c>
      <c r="F147" s="1207">
        <v>0.045256055204690414</v>
      </c>
      <c r="G147" s="1208">
        <f t="shared" si="25"/>
        <v>4437.79134192902</v>
      </c>
      <c r="H147" s="1315">
        <f t="shared" si="26"/>
        <v>4.43779134192902</v>
      </c>
      <c r="I147" s="1202">
        <v>44.377913419290195</v>
      </c>
      <c r="K147" s="1225">
        <f t="shared" si="18"/>
        <v>0.27447987593866574</v>
      </c>
      <c r="L147" s="1184">
        <f t="shared" si="19"/>
        <v>6.971788812148485</v>
      </c>
      <c r="M147" s="1198">
        <f t="shared" si="20"/>
        <v>0.13481237945175542</v>
      </c>
      <c r="N147" s="1207">
        <f t="shared" si="21"/>
        <v>0.009478880762622406</v>
      </c>
      <c r="O147" s="1208">
        <f t="shared" si="22"/>
        <v>929.4953965670331</v>
      </c>
      <c r="P147" s="1315">
        <f t="shared" si="23"/>
        <v>0.9294953965670333</v>
      </c>
      <c r="Q147" s="1202">
        <f t="shared" si="24"/>
        <v>9.29495396567033</v>
      </c>
    </row>
    <row r="148" spans="1:17" ht="15" customHeight="1">
      <c r="A148" s="1176">
        <v>70500</v>
      </c>
      <c r="B148" s="1219">
        <v>21488.40586203712</v>
      </c>
      <c r="C148" s="1223">
        <v>1.2795606910307527</v>
      </c>
      <c r="D148" s="421">
        <v>32.50084138112406</v>
      </c>
      <c r="E148" s="1197">
        <v>0.6284636380749988</v>
      </c>
      <c r="F148" s="1205">
        <v>0.04418831499883617</v>
      </c>
      <c r="G148" s="1206">
        <f t="shared" si="25"/>
        <v>4333.089148608415</v>
      </c>
      <c r="H148" s="1314">
        <f t="shared" si="26"/>
        <v>4.333089148608415</v>
      </c>
      <c r="I148" s="1200">
        <v>43.33089148608415</v>
      </c>
      <c r="K148" s="1226">
        <f t="shared" si="18"/>
        <v>0.26800398673639114</v>
      </c>
      <c r="L148" s="1182">
        <f t="shared" si="19"/>
        <v>6.807301227276435</v>
      </c>
      <c r="M148" s="1199">
        <f t="shared" si="20"/>
        <v>0.1316317089948085</v>
      </c>
      <c r="N148" s="1205">
        <f t="shared" si="21"/>
        <v>0.009255242576506235</v>
      </c>
      <c r="O148" s="1206">
        <f t="shared" si="22"/>
        <v>907.5655221760325</v>
      </c>
      <c r="P148" s="1314">
        <f t="shared" si="23"/>
        <v>0.9075655221760325</v>
      </c>
      <c r="Q148" s="1201">
        <f t="shared" si="24"/>
        <v>9.075655221760325</v>
      </c>
    </row>
    <row r="149" spans="1:17" ht="15" customHeight="1">
      <c r="A149" s="1176">
        <v>71000</v>
      </c>
      <c r="B149" s="1220">
        <v>21640.805903611854</v>
      </c>
      <c r="C149" s="1224">
        <v>1.2493924504990301</v>
      </c>
      <c r="D149" s="421">
        <v>31.734568075651325</v>
      </c>
      <c r="E149" s="1197">
        <v>0.6136463321575946</v>
      </c>
      <c r="F149" s="1205">
        <v>0.04314648577969805</v>
      </c>
      <c r="G149" s="1206">
        <f t="shared" si="25"/>
        <v>4230.927776664961</v>
      </c>
      <c r="H149" s="1314">
        <f t="shared" si="26"/>
        <v>4.230927776664961</v>
      </c>
      <c r="I149" s="1201">
        <v>42.309277766649615</v>
      </c>
      <c r="K149" s="1224">
        <f t="shared" si="18"/>
        <v>0.26168524875702187</v>
      </c>
      <c r="L149" s="1182">
        <f t="shared" si="19"/>
        <v>6.64680528344517</v>
      </c>
      <c r="M149" s="1199">
        <f t="shared" si="20"/>
        <v>0.1285282242704082</v>
      </c>
      <c r="N149" s="1205">
        <f t="shared" si="21"/>
        <v>0.009037031446557755</v>
      </c>
      <c r="O149" s="1206">
        <f t="shared" si="22"/>
        <v>886.1678228224761</v>
      </c>
      <c r="P149" s="1314">
        <f t="shared" si="23"/>
        <v>0.8861678228224761</v>
      </c>
      <c r="Q149" s="1201">
        <f t="shared" si="24"/>
        <v>8.861678228224761</v>
      </c>
    </row>
    <row r="150" spans="1:17" ht="15" customHeight="1">
      <c r="A150" s="1176">
        <v>71500</v>
      </c>
      <c r="B150" s="1220">
        <v>21793.205945186586</v>
      </c>
      <c r="C150" s="1224">
        <v>1.219955801610916</v>
      </c>
      <c r="D150" s="421">
        <v>30.98687719782844</v>
      </c>
      <c r="E150" s="1197">
        <v>0.5991883517095878</v>
      </c>
      <c r="F150" s="1205">
        <v>0.04212992132699491</v>
      </c>
      <c r="G150" s="1206">
        <f t="shared" si="25"/>
        <v>4131.2438579867985</v>
      </c>
      <c r="H150" s="1314">
        <f t="shared" si="26"/>
        <v>4.1312438579867985</v>
      </c>
      <c r="I150" s="1201">
        <v>41.31243857986799</v>
      </c>
      <c r="K150" s="1224">
        <f t="shared" si="18"/>
        <v>0.25551974264740634</v>
      </c>
      <c r="L150" s="1182">
        <f t="shared" si="19"/>
        <v>6.490201429085167</v>
      </c>
      <c r="M150" s="1199">
        <f t="shared" si="20"/>
        <v>0.12550000026557318</v>
      </c>
      <c r="N150" s="1205">
        <f t="shared" si="21"/>
        <v>0.008824112021939085</v>
      </c>
      <c r="O150" s="1206">
        <f t="shared" si="22"/>
        <v>865.289026055335</v>
      </c>
      <c r="P150" s="1314">
        <f t="shared" si="23"/>
        <v>0.865289026055335</v>
      </c>
      <c r="Q150" s="1201">
        <f t="shared" si="24"/>
        <v>8.652890260553349</v>
      </c>
    </row>
    <row r="151" spans="1:17" ht="15" customHeight="1">
      <c r="A151" s="1176">
        <v>72000</v>
      </c>
      <c r="B151" s="1221">
        <v>21945.605986761315</v>
      </c>
      <c r="C151" s="1224">
        <v>1.1912325110371256</v>
      </c>
      <c r="D151" s="421">
        <v>30.257305621094016</v>
      </c>
      <c r="E151" s="1197">
        <v>0.5850807413257864</v>
      </c>
      <c r="F151" s="1205">
        <v>0.04113799197141638</v>
      </c>
      <c r="G151" s="1206">
        <f t="shared" si="25"/>
        <v>4033.9756474438827</v>
      </c>
      <c r="H151" s="1314">
        <f t="shared" si="26"/>
        <v>4.033975647443882</v>
      </c>
      <c r="I151" s="1201">
        <v>40.33975647443883</v>
      </c>
      <c r="K151" s="1224">
        <f t="shared" si="18"/>
        <v>0.24950364943672595</v>
      </c>
      <c r="L151" s="1182">
        <f t="shared" si="19"/>
        <v>6.337392662338141</v>
      </c>
      <c r="M151" s="1199">
        <f t="shared" si="20"/>
        <v>0.12254516127068595</v>
      </c>
      <c r="N151" s="1205">
        <f t="shared" si="21"/>
        <v>0.00861635241841316</v>
      </c>
      <c r="O151" s="1206">
        <f t="shared" si="22"/>
        <v>844.9161993571212</v>
      </c>
      <c r="P151" s="1314">
        <f t="shared" si="23"/>
        <v>0.8449161993571211</v>
      </c>
      <c r="Q151" s="1201">
        <f t="shared" si="24"/>
        <v>8.449161993571213</v>
      </c>
    </row>
    <row r="152" spans="1:17" ht="15" customHeight="1">
      <c r="A152" s="1177">
        <v>72500</v>
      </c>
      <c r="B152" s="1222">
        <v>22098.006028336047</v>
      </c>
      <c r="C152" s="1225">
        <v>1.1632048121181802</v>
      </c>
      <c r="D152" s="427">
        <v>29.545402072299662</v>
      </c>
      <c r="E152" s="1198">
        <v>0.5713147748085734</v>
      </c>
      <c r="F152" s="1207">
        <v>0.040170084159614795</v>
      </c>
      <c r="G152" s="1208">
        <f t="shared" si="25"/>
        <v>3939.0629802312674</v>
      </c>
      <c r="H152" s="1315">
        <f t="shared" si="26"/>
        <v>3.9390629802312676</v>
      </c>
      <c r="I152" s="1202">
        <v>39.390629802312674</v>
      </c>
      <c r="K152" s="1225">
        <f t="shared" si="18"/>
        <v>0.24363324789815283</v>
      </c>
      <c r="L152" s="1184">
        <f t="shared" si="19"/>
        <v>6.188284464043164</v>
      </c>
      <c r="M152" s="1198">
        <f t="shared" si="20"/>
        <v>0.11966187958365569</v>
      </c>
      <c r="N152" s="1207">
        <f t="shared" si="21"/>
        <v>0.008413624127231319</v>
      </c>
      <c r="O152" s="1208">
        <f t="shared" si="22"/>
        <v>825.0367412094389</v>
      </c>
      <c r="P152" s="1315">
        <f t="shared" si="23"/>
        <v>0.8250367412094389</v>
      </c>
      <c r="Q152" s="1202">
        <f t="shared" si="24"/>
        <v>8.25036741209439</v>
      </c>
    </row>
    <row r="153" spans="1:17" ht="15" customHeight="1">
      <c r="A153" s="1178">
        <v>73000</v>
      </c>
      <c r="B153" s="1219">
        <v>22250.40606991078</v>
      </c>
      <c r="C153" s="1223">
        <v>1.1358553926073516</v>
      </c>
      <c r="D153" s="421">
        <v>28.8507268203808</v>
      </c>
      <c r="E153" s="1197">
        <v>0.5578819491477846</v>
      </c>
      <c r="F153" s="1205">
        <v>0.03922560003092038</v>
      </c>
      <c r="G153" s="1206">
        <f t="shared" si="25"/>
        <v>3846.4472303619536</v>
      </c>
      <c r="H153" s="1314">
        <f t="shared" si="26"/>
        <v>3.8464472303619535</v>
      </c>
      <c r="I153" s="1200">
        <v>38.46447230361954</v>
      </c>
      <c r="K153" s="1226">
        <f t="shared" si="18"/>
        <v>0.2379049119816098</v>
      </c>
      <c r="L153" s="1182">
        <f t="shared" si="19"/>
        <v>6.042784732528759</v>
      </c>
      <c r="M153" s="1199">
        <f t="shared" si="20"/>
        <v>0.11684837424900348</v>
      </c>
      <c r="N153" s="1205">
        <f t="shared" si="21"/>
        <v>0.008215801926476272</v>
      </c>
      <c r="O153" s="1206">
        <f t="shared" si="22"/>
        <v>805.6383723993112</v>
      </c>
      <c r="P153" s="1314">
        <f t="shared" si="23"/>
        <v>0.8056383723993111</v>
      </c>
      <c r="Q153" s="1201">
        <f t="shared" si="24"/>
        <v>8.056383723993113</v>
      </c>
    </row>
    <row r="154" spans="1:17" ht="15" customHeight="1">
      <c r="A154" s="1176">
        <v>73500</v>
      </c>
      <c r="B154" s="1220">
        <v>22402.806111485508</v>
      </c>
      <c r="C154" s="1224">
        <v>1.1091673827437747</v>
      </c>
      <c r="D154" s="421">
        <v>28.172851373413714</v>
      </c>
      <c r="E154" s="1197">
        <v>0.5447739786627472</v>
      </c>
      <c r="F154" s="1205">
        <v>0.03830395700545841</v>
      </c>
      <c r="G154" s="1206">
        <f t="shared" si="25"/>
        <v>3756.071270277822</v>
      </c>
      <c r="H154" s="1314">
        <f t="shared" si="26"/>
        <v>3.756071270277822</v>
      </c>
      <c r="I154" s="1201">
        <v>37.56071270277822</v>
      </c>
      <c r="K154" s="1224">
        <f t="shared" si="18"/>
        <v>0.2323151083156836</v>
      </c>
      <c r="L154" s="1182">
        <f t="shared" si="19"/>
        <v>5.900803720161503</v>
      </c>
      <c r="M154" s="1199">
        <f t="shared" si="20"/>
        <v>0.11410290983091241</v>
      </c>
      <c r="N154" s="1205">
        <f t="shared" si="21"/>
        <v>0.008022763794793265</v>
      </c>
      <c r="O154" s="1206">
        <f t="shared" si="22"/>
        <v>786.7091275596898</v>
      </c>
      <c r="P154" s="1314">
        <f t="shared" si="23"/>
        <v>0.7867091275596898</v>
      </c>
      <c r="Q154" s="1201">
        <f t="shared" si="24"/>
        <v>7.867091275596898</v>
      </c>
    </row>
    <row r="155" spans="1:17" ht="15" customHeight="1">
      <c r="A155" s="1176">
        <v>74000</v>
      </c>
      <c r="B155" s="1220">
        <v>22555.20615306024</v>
      </c>
      <c r="C155" s="1224">
        <v>1.0831243436465623</v>
      </c>
      <c r="D155" s="421">
        <v>27.51135818382606</v>
      </c>
      <c r="E155" s="1197">
        <v>0.531982789301984</v>
      </c>
      <c r="F155" s="1205">
        <v>0.03740458738335194</v>
      </c>
      <c r="G155" s="1206">
        <f t="shared" si="25"/>
        <v>3667.8794315476</v>
      </c>
      <c r="H155" s="1314">
        <f t="shared" si="26"/>
        <v>3.6678794315476</v>
      </c>
      <c r="I155" s="1201">
        <v>36.678794315476</v>
      </c>
      <c r="K155" s="1224">
        <f t="shared" si="18"/>
        <v>0.22686039377677247</v>
      </c>
      <c r="L155" s="1182">
        <f t="shared" si="19"/>
        <v>5.762253971602369</v>
      </c>
      <c r="M155" s="1199">
        <f t="shared" si="20"/>
        <v>0.11142379521930054</v>
      </c>
      <c r="N155" s="1205">
        <f t="shared" si="21"/>
        <v>0.007834390827443064</v>
      </c>
      <c r="O155" s="1206">
        <f t="shared" si="22"/>
        <v>768.2373469376448</v>
      </c>
      <c r="P155" s="1314">
        <f t="shared" si="23"/>
        <v>0.7682373469376448</v>
      </c>
      <c r="Q155" s="1201">
        <f t="shared" si="24"/>
        <v>7.682373469376447</v>
      </c>
    </row>
    <row r="156" spans="1:17" ht="15" customHeight="1">
      <c r="A156" s="1176">
        <v>74500</v>
      </c>
      <c r="B156" s="1221">
        <v>22707.606194634973</v>
      </c>
      <c r="C156" s="1224">
        <v>1.0577102560211136</v>
      </c>
      <c r="D156" s="421">
        <v>26.865840361537128</v>
      </c>
      <c r="E156" s="1197">
        <v>0.5195005130962494</v>
      </c>
      <c r="F156" s="1205">
        <v>0.03652693795470568</v>
      </c>
      <c r="G156" s="1206">
        <f t="shared" si="25"/>
        <v>3581.8174666220384</v>
      </c>
      <c r="H156" s="1314">
        <f t="shared" si="26"/>
        <v>3.5818174666220384</v>
      </c>
      <c r="I156" s="1201">
        <v>35.818174666220386</v>
      </c>
      <c r="K156" s="1224">
        <f t="shared" si="18"/>
        <v>0.22153741312362224</v>
      </c>
      <c r="L156" s="1182">
        <f t="shared" si="19"/>
        <v>5.627050263723952</v>
      </c>
      <c r="M156" s="1199">
        <f t="shared" si="20"/>
        <v>0.10880938246800945</v>
      </c>
      <c r="N156" s="1205">
        <f t="shared" si="21"/>
        <v>0.007650567154613104</v>
      </c>
      <c r="O156" s="1206">
        <f t="shared" si="22"/>
        <v>750.211668383986</v>
      </c>
      <c r="P156" s="1314">
        <f t="shared" si="23"/>
        <v>0.7502116683839859</v>
      </c>
      <c r="Q156" s="1201">
        <f t="shared" si="24"/>
        <v>7.502116683839859</v>
      </c>
    </row>
    <row r="157" spans="1:17" ht="15" customHeight="1">
      <c r="A157" s="1177">
        <v>75000</v>
      </c>
      <c r="B157" s="1222">
        <v>22860.006236209705</v>
      </c>
      <c r="C157" s="1225">
        <v>1.032909509168953</v>
      </c>
      <c r="D157" s="427">
        <v>26.23590139480772</v>
      </c>
      <c r="E157" s="1198">
        <v>0.5073194827606503</v>
      </c>
      <c r="F157" s="1207">
        <v>0.03567046962007213</v>
      </c>
      <c r="G157" s="1208">
        <f t="shared" si="25"/>
        <v>3497.8325116169635</v>
      </c>
      <c r="H157" s="1315">
        <f t="shared" si="26"/>
        <v>3.4978325116169637</v>
      </c>
      <c r="I157" s="1202">
        <v>34.978325116169636</v>
      </c>
      <c r="K157" s="1225">
        <f t="shared" si="18"/>
        <v>0.21634289669543721</v>
      </c>
      <c r="L157" s="1184">
        <f t="shared" si="19"/>
        <v>5.4951095471424765</v>
      </c>
      <c r="M157" s="1198">
        <f t="shared" si="20"/>
        <v>0.10625806566421821</v>
      </c>
      <c r="N157" s="1207">
        <f t="shared" si="21"/>
        <v>0.007471179861924107</v>
      </c>
      <c r="O157" s="1208">
        <f t="shared" si="22"/>
        <v>732.621019558173</v>
      </c>
      <c r="P157" s="1315">
        <f t="shared" si="23"/>
        <v>0.732621019558173</v>
      </c>
      <c r="Q157" s="1202">
        <f t="shared" si="24"/>
        <v>7.32621019558173</v>
      </c>
    </row>
    <row r="158" spans="1:17" ht="15" customHeight="1">
      <c r="A158" s="1178">
        <v>75500</v>
      </c>
      <c r="B158" s="1219">
        <v>23012.406277784434</v>
      </c>
      <c r="C158" s="1223">
        <v>1.008706890292814</v>
      </c>
      <c r="D158" s="421">
        <v>25.621154878589294</v>
      </c>
      <c r="E158" s="1197">
        <v>0.495432226441774</v>
      </c>
      <c r="F158" s="1205">
        <v>0.03483465702111358</v>
      </c>
      <c r="G158" s="1206">
        <f t="shared" si="25"/>
        <v>3415.873050096132</v>
      </c>
      <c r="H158" s="1314">
        <f t="shared" si="26"/>
        <v>3.415873050096132</v>
      </c>
      <c r="I158" s="1200">
        <v>34.15873050096132</v>
      </c>
      <c r="K158" s="1226">
        <f t="shared" si="18"/>
        <v>0.2112736581718299</v>
      </c>
      <c r="L158" s="1182">
        <f t="shared" si="19"/>
        <v>5.366350889320528</v>
      </c>
      <c r="M158" s="1199">
        <f t="shared" si="20"/>
        <v>0.10376827982822956</v>
      </c>
      <c r="N158" s="1205">
        <f t="shared" si="21"/>
        <v>0.007296118913072239</v>
      </c>
      <c r="O158" s="1206">
        <f t="shared" si="22"/>
        <v>715.4546103426349</v>
      </c>
      <c r="P158" s="1314">
        <f t="shared" si="23"/>
        <v>0.7154546103426348</v>
      </c>
      <c r="Q158" s="1201">
        <f t="shared" si="24"/>
        <v>7.154546103426348</v>
      </c>
    </row>
    <row r="159" spans="1:17" ht="15" customHeight="1">
      <c r="A159" s="1176">
        <v>76000</v>
      </c>
      <c r="B159" s="1220">
        <v>23164.806319359166</v>
      </c>
      <c r="C159" s="1224">
        <v>0.9850875740887618</v>
      </c>
      <c r="D159" s="421">
        <v>25.021224250163897</v>
      </c>
      <c r="E159" s="1197">
        <v>0.4838314626058008</v>
      </c>
      <c r="F159" s="1205">
        <v>0.03401898818117679</v>
      </c>
      <c r="G159" s="1206">
        <f t="shared" si="25"/>
        <v>3335.8888778261276</v>
      </c>
      <c r="H159" s="1314">
        <f t="shared" si="26"/>
        <v>3.3358888778261275</v>
      </c>
      <c r="I159" s="1201">
        <v>33.358888778261274</v>
      </c>
      <c r="K159" s="1224">
        <f t="shared" si="18"/>
        <v>0.20632659239289117</v>
      </c>
      <c r="L159" s="1182">
        <f t="shared" si="19"/>
        <v>5.240695419196828</v>
      </c>
      <c r="M159" s="1199">
        <f t="shared" si="20"/>
        <v>0.10133849984278498</v>
      </c>
      <c r="N159" s="1205">
        <f t="shared" si="21"/>
        <v>0.007125277074547479</v>
      </c>
      <c r="O159" s="1206">
        <f t="shared" si="22"/>
        <v>698.7019254606824</v>
      </c>
      <c r="P159" s="1314">
        <f t="shared" si="23"/>
        <v>0.6987019254606824</v>
      </c>
      <c r="Q159" s="1201">
        <f t="shared" si="24"/>
        <v>6.987019254606824</v>
      </c>
    </row>
    <row r="160" spans="1:17" ht="15" customHeight="1">
      <c r="A160" s="1176">
        <v>76500</v>
      </c>
      <c r="B160" s="1220">
        <v>23317.2063609339</v>
      </c>
      <c r="C160" s="1224">
        <v>0.9620371126175188</v>
      </c>
      <c r="D160" s="421">
        <v>24.435742531875807</v>
      </c>
      <c r="E160" s="1197">
        <v>0.47251009506374586</v>
      </c>
      <c r="F160" s="1205">
        <v>0.03322296415550957</v>
      </c>
      <c r="G160" s="1206">
        <f t="shared" si="25"/>
        <v>3257.8310684767316</v>
      </c>
      <c r="H160" s="1314">
        <f t="shared" si="26"/>
        <v>3.2578310684767318</v>
      </c>
      <c r="I160" s="1201">
        <v>32.57831068476732</v>
      </c>
      <c r="K160" s="1224">
        <f t="shared" si="18"/>
        <v>0.20149867323773932</v>
      </c>
      <c r="L160" s="1182">
        <f t="shared" si="19"/>
        <v>5.1180662733013875</v>
      </c>
      <c r="M160" s="1199">
        <f t="shared" si="20"/>
        <v>0.09896723941110157</v>
      </c>
      <c r="N160" s="1205">
        <f t="shared" si="21"/>
        <v>0.0069585498423714795</v>
      </c>
      <c r="O160" s="1206">
        <f t="shared" si="22"/>
        <v>682.3527172924514</v>
      </c>
      <c r="P160" s="1314">
        <f t="shared" si="23"/>
        <v>0.6823527172924515</v>
      </c>
      <c r="Q160" s="1201">
        <f t="shared" si="24"/>
        <v>6.823527172924514</v>
      </c>
    </row>
    <row r="161" spans="1:17" ht="15" customHeight="1">
      <c r="A161" s="1176">
        <v>77000</v>
      </c>
      <c r="B161" s="1221">
        <v>23469.60640250863</v>
      </c>
      <c r="C161" s="1224">
        <v>0.939541425447282</v>
      </c>
      <c r="D161" s="421">
        <v>23.86435208075911</v>
      </c>
      <c r="E161" s="1197">
        <v>0.4614612081300472</v>
      </c>
      <c r="F161" s="1205">
        <v>0.032446098690853145</v>
      </c>
      <c r="G161" s="1206">
        <f t="shared" si="25"/>
        <v>3181.6519402406802</v>
      </c>
      <c r="H161" s="1314">
        <f t="shared" si="26"/>
        <v>3.1816519402406804</v>
      </c>
      <c r="I161" s="1201">
        <v>31.816519402406804</v>
      </c>
      <c r="K161" s="1224">
        <f t="shared" si="18"/>
        <v>0.19678695155993323</v>
      </c>
      <c r="L161" s="1182">
        <f t="shared" si="19"/>
        <v>4.998388543314996</v>
      </c>
      <c r="M161" s="1199">
        <f t="shared" si="20"/>
        <v>0.09665305004283839</v>
      </c>
      <c r="N161" s="1205">
        <f t="shared" si="21"/>
        <v>0.006795835370799191</v>
      </c>
      <c r="O161" s="1206">
        <f t="shared" si="22"/>
        <v>666.3969988834104</v>
      </c>
      <c r="P161" s="1314">
        <f t="shared" si="23"/>
        <v>0.6663969988834105</v>
      </c>
      <c r="Q161" s="1201">
        <f t="shared" si="24"/>
        <v>6.663969988834105</v>
      </c>
    </row>
    <row r="162" spans="1:17" ht="15" customHeight="1">
      <c r="A162" s="1177">
        <v>77500</v>
      </c>
      <c r="B162" s="1222">
        <v>23622.00644408336</v>
      </c>
      <c r="C162" s="1225">
        <v>0.9175867900605931</v>
      </c>
      <c r="D162" s="427">
        <v>23.3067043448722</v>
      </c>
      <c r="E162" s="1198">
        <v>0.45067806191084453</v>
      </c>
      <c r="F162" s="1207">
        <v>0.03168791789415322</v>
      </c>
      <c r="G162" s="1208">
        <f t="shared" si="25"/>
        <v>3107.3050233475997</v>
      </c>
      <c r="H162" s="1315">
        <f t="shared" si="26"/>
        <v>3.1073050233475996</v>
      </c>
      <c r="I162" s="1202">
        <v>31.073050233475996</v>
      </c>
      <c r="K162" s="1225">
        <f t="shared" si="18"/>
        <v>0.19218855317819122</v>
      </c>
      <c r="L162" s="1184">
        <f t="shared" si="19"/>
        <v>4.8815892250334825</v>
      </c>
      <c r="M162" s="1198">
        <f t="shared" si="20"/>
        <v>0.09439452006722639</v>
      </c>
      <c r="N162" s="1207">
        <f t="shared" si="21"/>
        <v>0.006637034402930392</v>
      </c>
      <c r="O162" s="1208">
        <f t="shared" si="22"/>
        <v>650.8250371401548</v>
      </c>
      <c r="P162" s="1315">
        <f t="shared" si="23"/>
        <v>0.6508250371401547</v>
      </c>
      <c r="Q162" s="1202">
        <f t="shared" si="24"/>
        <v>6.508250371401547</v>
      </c>
    </row>
    <row r="163" spans="1:17" ht="15" customHeight="1">
      <c r="A163" s="1178">
        <v>78000</v>
      </c>
      <c r="B163" s="1219">
        <v>23774.40648565809</v>
      </c>
      <c r="C163" s="1223">
        <v>0.8961598325180056</v>
      </c>
      <c r="D163" s="421">
        <v>22.762459626154925</v>
      </c>
      <c r="E163" s="1197">
        <v>0.44015408771838516</v>
      </c>
      <c r="F163" s="1205">
        <v>0.030947959910139322</v>
      </c>
      <c r="G163" s="1206">
        <f t="shared" si="25"/>
        <v>3034.7450284475626</v>
      </c>
      <c r="H163" s="1314">
        <f t="shared" si="26"/>
        <v>3.0347450284475626</v>
      </c>
      <c r="I163" s="1200">
        <v>30.347450284475627</v>
      </c>
      <c r="K163" s="1226">
        <f t="shared" si="18"/>
        <v>0.18770067692089626</v>
      </c>
      <c r="L163" s="1182">
        <f t="shared" si="19"/>
        <v>4.767597168698149</v>
      </c>
      <c r="M163" s="1199">
        <f t="shared" si="20"/>
        <v>0.09219027367261577</v>
      </c>
      <c r="N163" s="1205">
        <f t="shared" si="21"/>
        <v>0.006482050203178681</v>
      </c>
      <c r="O163" s="1206">
        <f t="shared" si="22"/>
        <v>635.627346208342</v>
      </c>
      <c r="P163" s="1314">
        <f t="shared" si="23"/>
        <v>0.6356273462083419</v>
      </c>
      <c r="Q163" s="1201">
        <f t="shared" si="24"/>
        <v>6.35627346208342</v>
      </c>
    </row>
    <row r="164" spans="1:17" ht="15" customHeight="1">
      <c r="A164" s="1176">
        <v>78500</v>
      </c>
      <c r="B164" s="1220">
        <v>23926.806527232824</v>
      </c>
      <c r="C164" s="1224">
        <v>0.8752475183715054</v>
      </c>
      <c r="D164" s="421">
        <v>22.231286849629466</v>
      </c>
      <c r="E164" s="1197">
        <v>0.4298828836080982</v>
      </c>
      <c r="F164" s="1205">
        <v>0.030225774607529118</v>
      </c>
      <c r="G164" s="1206">
        <f t="shared" si="25"/>
        <v>2963.927815840402</v>
      </c>
      <c r="H164" s="1314">
        <f t="shared" si="26"/>
        <v>2.9639278158404023</v>
      </c>
      <c r="I164" s="1201">
        <v>29.63927815840402</v>
      </c>
      <c r="K164" s="1224">
        <f t="shared" si="18"/>
        <v>0.1833205927229118</v>
      </c>
      <c r="L164" s="1182">
        <f t="shared" si="19"/>
        <v>4.656343030654892</v>
      </c>
      <c r="M164" s="1199">
        <f t="shared" si="20"/>
        <v>0.09003896997171616</v>
      </c>
      <c r="N164" s="1205">
        <f t="shared" si="21"/>
        <v>0.006330788491546974</v>
      </c>
      <c r="O164" s="1206">
        <f t="shared" si="22"/>
        <v>620.7946810277722</v>
      </c>
      <c r="P164" s="1314">
        <f t="shared" si="23"/>
        <v>0.6207946810277722</v>
      </c>
      <c r="Q164" s="1201">
        <f t="shared" si="24"/>
        <v>6.207946810277722</v>
      </c>
    </row>
    <row r="165" spans="1:17" ht="15" customHeight="1">
      <c r="A165" s="1176">
        <v>79000</v>
      </c>
      <c r="B165" s="1220">
        <v>24079.206568807556</v>
      </c>
      <c r="C165" s="1224">
        <v>0.8548371438208248</v>
      </c>
      <c r="D165" s="421">
        <v>21.712863338770724</v>
      </c>
      <c r="E165" s="1197">
        <v>0.4198582100349665</v>
      </c>
      <c r="F165" s="1205">
        <v>0.029520923273620776</v>
      </c>
      <c r="G165" s="1206">
        <f t="shared" si="25"/>
        <v>2894.810365527557</v>
      </c>
      <c r="H165" s="1314">
        <f t="shared" si="26"/>
        <v>2.894810365527557</v>
      </c>
      <c r="I165" s="1201">
        <v>28.94810365527557</v>
      </c>
      <c r="K165" s="1224">
        <f t="shared" si="18"/>
        <v>0.17904563977327173</v>
      </c>
      <c r="L165" s="1182">
        <f t="shared" si="19"/>
        <v>4.547759226305528</v>
      </c>
      <c r="M165" s="1199">
        <f t="shared" si="20"/>
        <v>0.08793930209182373</v>
      </c>
      <c r="N165" s="1205">
        <f t="shared" si="21"/>
        <v>0.006183157379659871</v>
      </c>
      <c r="O165" s="1206">
        <f t="shared" si="22"/>
        <v>606.3180310597469</v>
      </c>
      <c r="P165" s="1314">
        <f t="shared" si="23"/>
        <v>0.6063180310597468</v>
      </c>
      <c r="Q165" s="1201">
        <f t="shared" si="24"/>
        <v>6.063180310597468</v>
      </c>
    </row>
    <row r="166" spans="1:17" ht="15" customHeight="1">
      <c r="A166" s="1176">
        <v>79500</v>
      </c>
      <c r="B166" s="1221">
        <v>24231.606610382285</v>
      </c>
      <c r="C166" s="1224">
        <v>0.8349163271060194</v>
      </c>
      <c r="D166" s="421">
        <v>21.206874596877764</v>
      </c>
      <c r="E166" s="1197">
        <v>0.41007398562594155</v>
      </c>
      <c r="F166" s="1205">
        <v>0.02883297831704447</v>
      </c>
      <c r="G166" s="1206">
        <f t="shared" si="25"/>
        <v>2827.350748063999</v>
      </c>
      <c r="H166" s="1314">
        <f t="shared" si="26"/>
        <v>2.827350748063999</v>
      </c>
      <c r="I166" s="1201">
        <v>28.273507480639992</v>
      </c>
      <c r="K166" s="1224">
        <f t="shared" si="18"/>
        <v>0.17487322471235575</v>
      </c>
      <c r="L166" s="1182">
        <f t="shared" si="19"/>
        <v>4.441779884316047</v>
      </c>
      <c r="M166" s="1199">
        <f t="shared" si="20"/>
        <v>0.08588999628935345</v>
      </c>
      <c r="N166" s="1205">
        <f t="shared" si="21"/>
        <v>0.006039067308504964</v>
      </c>
      <c r="O166" s="1206">
        <f t="shared" si="22"/>
        <v>592.1886141820046</v>
      </c>
      <c r="P166" s="1314">
        <f t="shared" si="23"/>
        <v>0.5921886141820046</v>
      </c>
      <c r="Q166" s="1201">
        <f t="shared" si="24"/>
        <v>5.921886141820046</v>
      </c>
    </row>
    <row r="167" spans="1:17" ht="15" customHeight="1">
      <c r="A167" s="1177">
        <v>80000</v>
      </c>
      <c r="B167" s="1222">
        <v>24384.006651957017</v>
      </c>
      <c r="C167" s="1225">
        <v>0.8154730001298361</v>
      </c>
      <c r="D167" s="427">
        <v>20.713014094281977</v>
      </c>
      <c r="E167" s="1198">
        <v>0.4005242830652209</v>
      </c>
      <c r="F167" s="1207">
        <v>0.02816152297844943</v>
      </c>
      <c r="G167" s="1208">
        <f t="shared" si="25"/>
        <v>2761.5080961883173</v>
      </c>
      <c r="H167" s="1315">
        <f t="shared" si="26"/>
        <v>2.7615080961883174</v>
      </c>
      <c r="I167" s="1202">
        <v>27.615080961883173</v>
      </c>
      <c r="K167" s="1225">
        <f t="shared" si="18"/>
        <v>0.17080081987719417</v>
      </c>
      <c r="L167" s="1184">
        <f t="shared" si="19"/>
        <v>4.33834080204736</v>
      </c>
      <c r="M167" s="1198">
        <f t="shared" si="20"/>
        <v>0.08388981108801052</v>
      </c>
      <c r="N167" s="1207">
        <f t="shared" si="21"/>
        <v>0.0058984309878362335</v>
      </c>
      <c r="O167" s="1208">
        <f t="shared" si="22"/>
        <v>578.3978707466431</v>
      </c>
      <c r="P167" s="1315">
        <f t="shared" si="23"/>
        <v>0.5783978707466431</v>
      </c>
      <c r="Q167" s="1202">
        <f t="shared" si="24"/>
        <v>5.783978707466431</v>
      </c>
    </row>
    <row r="168" spans="1:17" ht="15" customHeight="1">
      <c r="A168" s="1176">
        <v>80500</v>
      </c>
      <c r="B168" s="1219">
        <v>24536.40669353175</v>
      </c>
      <c r="C168" s="1223">
        <v>0.796495400303556</v>
      </c>
      <c r="D168" s="421">
        <v>20.230983061231466</v>
      </c>
      <c r="E168" s="1197">
        <v>0.39120332508928635</v>
      </c>
      <c r="F168" s="1205">
        <v>0.027506151048908523</v>
      </c>
      <c r="G168" s="1206">
        <f t="shared" si="25"/>
        <v>2697.2425772095767</v>
      </c>
      <c r="H168" s="1314">
        <f t="shared" si="26"/>
        <v>2.6972425772095767</v>
      </c>
      <c r="I168" s="1200">
        <v>26.972425772095768</v>
      </c>
      <c r="K168" s="1226">
        <f t="shared" si="18"/>
        <v>0.16682596159357982</v>
      </c>
      <c r="L168" s="1182">
        <f t="shared" si="19"/>
        <v>4.2373794021749305</v>
      </c>
      <c r="M168" s="1199">
        <f t="shared" si="20"/>
        <v>0.08193753643995103</v>
      </c>
      <c r="N168" s="1205">
        <f t="shared" si="21"/>
        <v>0.00576116333719389</v>
      </c>
      <c r="O168" s="1206">
        <f t="shared" si="22"/>
        <v>564.9374577965458</v>
      </c>
      <c r="P168" s="1314">
        <f t="shared" si="23"/>
        <v>0.5649374577965458</v>
      </c>
      <c r="Q168" s="1201">
        <f t="shared" si="24"/>
        <v>5.6493745779654585</v>
      </c>
    </row>
    <row r="169" spans="1:17" ht="15" customHeight="1">
      <c r="A169" s="1176">
        <v>81000</v>
      </c>
      <c r="B169" s="1220">
        <v>24688.806735106482</v>
      </c>
      <c r="C169" s="1224">
        <v>0.7779720626102294</v>
      </c>
      <c r="D169" s="421">
        <v>19.760490286297248</v>
      </c>
      <c r="E169" s="1197">
        <v>0.38210548058871624</v>
      </c>
      <c r="F169" s="1205">
        <v>0.026866466595830196</v>
      </c>
      <c r="G169" s="1206">
        <f t="shared" si="25"/>
        <v>2634.5153661303534</v>
      </c>
      <c r="H169" s="1314">
        <f t="shared" si="26"/>
        <v>2.6345153661303535</v>
      </c>
      <c r="I169" s="1201">
        <v>26.345153661303534</v>
      </c>
      <c r="K169" s="1224">
        <f t="shared" si="18"/>
        <v>0.16294624851371256</v>
      </c>
      <c r="L169" s="1182">
        <f t="shared" si="19"/>
        <v>4.138834690464958</v>
      </c>
      <c r="M169" s="1199">
        <f t="shared" si="20"/>
        <v>0.08003199290930661</v>
      </c>
      <c r="N169" s="1205">
        <f t="shared" si="21"/>
        <v>0.005627181428496634</v>
      </c>
      <c r="O169" s="1206">
        <f t="shared" si="22"/>
        <v>551.7992434360025</v>
      </c>
      <c r="P169" s="1314">
        <f t="shared" si="23"/>
        <v>0.5517992434360025</v>
      </c>
      <c r="Q169" s="1201">
        <f t="shared" si="24"/>
        <v>5.517992434360025</v>
      </c>
    </row>
    <row r="170" spans="1:17" ht="15" customHeight="1">
      <c r="A170" s="1176">
        <v>81500</v>
      </c>
      <c r="B170" s="1220">
        <v>24841.20677668121</v>
      </c>
      <c r="C170" s="1224">
        <v>0.7598918118793763</v>
      </c>
      <c r="D170" s="421">
        <v>19.301251920150623</v>
      </c>
      <c r="E170" s="1197">
        <v>0.37322526081385987</v>
      </c>
      <c r="F170" s="1205">
        <v>0.02624208369617321</v>
      </c>
      <c r="G170" s="1206">
        <f t="shared" si="25"/>
        <v>2573.2886194858706</v>
      </c>
      <c r="H170" s="1314">
        <f t="shared" si="26"/>
        <v>2.573288619485871</v>
      </c>
      <c r="I170" s="1201">
        <v>25.732886194858708</v>
      </c>
      <c r="K170" s="1224">
        <f t="shared" si="18"/>
        <v>0.15915933999813536</v>
      </c>
      <c r="L170" s="1182">
        <f t="shared" si="19"/>
        <v>4.042647214675548</v>
      </c>
      <c r="M170" s="1199">
        <f t="shared" si="20"/>
        <v>0.07817203087746295</v>
      </c>
      <c r="N170" s="1205">
        <f t="shared" si="21"/>
        <v>0.0054964044301634785</v>
      </c>
      <c r="O170" s="1206">
        <f t="shared" si="22"/>
        <v>538.9753013513156</v>
      </c>
      <c r="P170" s="1314">
        <f t="shared" si="23"/>
        <v>0.5389753013513157</v>
      </c>
      <c r="Q170" s="1201">
        <f t="shared" si="24"/>
        <v>5.389753013513157</v>
      </c>
    </row>
    <row r="171" spans="1:17" ht="15" customHeight="1">
      <c r="A171" s="1176">
        <v>82000</v>
      </c>
      <c r="B171" s="1221">
        <v>24993.606818255943</v>
      </c>
      <c r="C171" s="1224">
        <v>0.7422437552673335</v>
      </c>
      <c r="D171" s="421">
        <v>18.852991284564002</v>
      </c>
      <c r="E171" s="1197">
        <v>0.36455731568151656</v>
      </c>
      <c r="F171" s="1205">
        <v>0.02563262617676314</v>
      </c>
      <c r="G171" s="1206">
        <f t="shared" si="25"/>
        <v>2513.525449879536</v>
      </c>
      <c r="H171" s="1314">
        <f t="shared" si="26"/>
        <v>2.5135254498795363</v>
      </c>
      <c r="I171" s="1201">
        <v>25.135254498795362</v>
      </c>
      <c r="K171" s="1224">
        <f t="shared" si="18"/>
        <v>0.15546295454074302</v>
      </c>
      <c r="L171" s="1182">
        <f t="shared" si="19"/>
        <v>3.94875902455193</v>
      </c>
      <c r="M171" s="1199">
        <f t="shared" si="20"/>
        <v>0.07635652976949364</v>
      </c>
      <c r="N171" s="1205">
        <f t="shared" si="21"/>
        <v>0.00536875355272304</v>
      </c>
      <c r="O171" s="1206">
        <f t="shared" si="22"/>
        <v>526.4579054772688</v>
      </c>
      <c r="P171" s="1314">
        <f t="shared" si="23"/>
        <v>0.5264579054772689</v>
      </c>
      <c r="Q171" s="1201">
        <f t="shared" si="24"/>
        <v>5.264579054772689</v>
      </c>
    </row>
    <row r="172" spans="1:17" ht="15" customHeight="1">
      <c r="A172" s="1177">
        <v>82500</v>
      </c>
      <c r="B172" s="1222">
        <v>25146.006859830675</v>
      </c>
      <c r="C172" s="1225">
        <v>0.7250172749376824</v>
      </c>
      <c r="D172" s="427">
        <v>18.415438686493772</v>
      </c>
      <c r="E172" s="1198">
        <v>0.35609643017988485</v>
      </c>
      <c r="F172" s="1207">
        <v>0.025037727361518443</v>
      </c>
      <c r="G172" s="1208">
        <f t="shared" si="25"/>
        <v>2455.1899011960286</v>
      </c>
      <c r="H172" s="1315">
        <f t="shared" si="26"/>
        <v>2.4551899011960288</v>
      </c>
      <c r="I172" s="1202">
        <v>24.551899011960284</v>
      </c>
      <c r="K172" s="1225">
        <f t="shared" si="18"/>
        <v>0.15185486823569758</v>
      </c>
      <c r="L172" s="1184">
        <f t="shared" si="19"/>
        <v>3.8571136328861204</v>
      </c>
      <c r="M172" s="1198">
        <f t="shared" si="20"/>
        <v>0.07458439730117689</v>
      </c>
      <c r="N172" s="1207">
        <f t="shared" si="21"/>
        <v>0.005244151995870038</v>
      </c>
      <c r="O172" s="1208">
        <f t="shared" si="22"/>
        <v>514.2395248055082</v>
      </c>
      <c r="P172" s="1315">
        <f t="shared" si="23"/>
        <v>0.5142395248055082</v>
      </c>
      <c r="Q172" s="1202">
        <f t="shared" si="24"/>
        <v>5.142395248055082</v>
      </c>
    </row>
    <row r="173" spans="1:17" ht="15" customHeight="1">
      <c r="A173" s="1178">
        <v>83000</v>
      </c>
      <c r="B173" s="1219">
        <v>25298.406901405404</v>
      </c>
      <c r="C173" s="1223">
        <v>0.7082020209362705</v>
      </c>
      <c r="D173" s="421">
        <v>17.988331237105843</v>
      </c>
      <c r="E173" s="1197">
        <v>0.34783752086908876</v>
      </c>
      <c r="F173" s="1205">
        <v>0.024457029825396673</v>
      </c>
      <c r="G173" s="1206">
        <f t="shared" si="25"/>
        <v>2398.2469244733547</v>
      </c>
      <c r="H173" s="1314">
        <f t="shared" si="26"/>
        <v>2.3982469244733546</v>
      </c>
      <c r="I173" s="1200">
        <v>23.982469244733547</v>
      </c>
      <c r="K173" s="1226">
        <f t="shared" si="18"/>
        <v>0.14833291328510184</v>
      </c>
      <c r="L173" s="1182">
        <f t="shared" si="19"/>
        <v>3.7676559776118186</v>
      </c>
      <c r="M173" s="1199">
        <f t="shared" si="20"/>
        <v>0.07285456874603063</v>
      </c>
      <c r="N173" s="1205">
        <f t="shared" si="21"/>
        <v>0.005122524896929333</v>
      </c>
      <c r="O173" s="1206">
        <f t="shared" si="22"/>
        <v>502.31281833094414</v>
      </c>
      <c r="P173" s="1314">
        <f t="shared" si="23"/>
        <v>0.5023128183309441</v>
      </c>
      <c r="Q173" s="1201">
        <f t="shared" si="24"/>
        <v>5.023128183309441</v>
      </c>
    </row>
    <row r="174" spans="1:17" ht="15" customHeight="1">
      <c r="A174" s="1176">
        <v>83500</v>
      </c>
      <c r="B174" s="1220">
        <v>25450.806942980136</v>
      </c>
      <c r="C174" s="1224">
        <v>0.6917879042555536</v>
      </c>
      <c r="D174" s="421">
        <v>17.571412675609942</v>
      </c>
      <c r="E174" s="1197">
        <v>0.33977563247468906</v>
      </c>
      <c r="F174" s="1205">
        <v>0.023890185154878625</v>
      </c>
      <c r="G174" s="1206">
        <f t="shared" si="25"/>
        <v>2342.662354416023</v>
      </c>
      <c r="H174" s="1314">
        <f t="shared" si="26"/>
        <v>2.342662354416023</v>
      </c>
      <c r="I174" s="1201">
        <v>23.42662354416023</v>
      </c>
      <c r="K174" s="1224">
        <f t="shared" si="18"/>
        <v>0.1448949765463257</v>
      </c>
      <c r="L174" s="1182">
        <f t="shared" si="19"/>
        <v>3.680332384906502</v>
      </c>
      <c r="M174" s="1199">
        <f t="shared" si="20"/>
        <v>0.07116600622182362</v>
      </c>
      <c r="N174" s="1205">
        <f t="shared" si="21"/>
        <v>0.005003799280689328</v>
      </c>
      <c r="O174" s="1206">
        <f t="shared" si="22"/>
        <v>490.670630132436</v>
      </c>
      <c r="P174" s="1314">
        <f t="shared" si="23"/>
        <v>0.490670630132436</v>
      </c>
      <c r="Q174" s="1201">
        <f t="shared" si="24"/>
        <v>4.90670630132436</v>
      </c>
    </row>
    <row r="175" spans="1:17" ht="15" customHeight="1">
      <c r="A175" s="1176">
        <v>84000</v>
      </c>
      <c r="B175" s="1220">
        <v>25603.20698455487</v>
      </c>
      <c r="C175" s="1224">
        <v>0.6757650900830582</v>
      </c>
      <c r="D175" s="421">
        <v>17.164433197770556</v>
      </c>
      <c r="E175" s="1197">
        <v>0.3319059345716264</v>
      </c>
      <c r="F175" s="1205">
        <v>0.023336853714810944</v>
      </c>
      <c r="G175" s="1206">
        <f t="shared" si="25"/>
        <v>2288.4028865317127</v>
      </c>
      <c r="H175" s="1314">
        <f t="shared" si="26"/>
        <v>2.2884028865317125</v>
      </c>
      <c r="I175" s="1201">
        <v>22.884028865317127</v>
      </c>
      <c r="K175" s="1224">
        <f t="shared" si="18"/>
        <v>0.14153899811789653</v>
      </c>
      <c r="L175" s="1182">
        <f t="shared" si="19"/>
        <v>3.595090533273043</v>
      </c>
      <c r="M175" s="1199">
        <f t="shared" si="20"/>
        <v>0.06951769799602715</v>
      </c>
      <c r="N175" s="1205">
        <f t="shared" si="21"/>
        <v>0.004887904010567152</v>
      </c>
      <c r="O175" s="1206">
        <f t="shared" si="22"/>
        <v>479.30598458406723</v>
      </c>
      <c r="P175" s="1314">
        <f t="shared" si="23"/>
        <v>0.4793059845840672</v>
      </c>
      <c r="Q175" s="1201">
        <f t="shared" si="24"/>
        <v>4.793059845840673</v>
      </c>
    </row>
    <row r="176" spans="1:17" ht="15" customHeight="1">
      <c r="A176" s="1176">
        <v>84500</v>
      </c>
      <c r="B176" s="1221">
        <v>25755.6070261296</v>
      </c>
      <c r="C176" s="1224">
        <v>0.6601239912290282</v>
      </c>
      <c r="D176" s="421">
        <v>16.767149288969165</v>
      </c>
      <c r="E176" s="1197">
        <v>0.3242237183561721</v>
      </c>
      <c r="F176" s="1205">
        <v>0.02279670442143663</v>
      </c>
      <c r="G176" s="1206">
        <f t="shared" si="25"/>
        <v>2235.4360548747377</v>
      </c>
      <c r="H176" s="1314">
        <f t="shared" si="26"/>
        <v>2.2354360548747376</v>
      </c>
      <c r="I176" s="1201">
        <v>22.354360548747376</v>
      </c>
      <c r="K176" s="1224">
        <f t="shared" si="18"/>
        <v>0.13826296996291995</v>
      </c>
      <c r="L176" s="1182">
        <f t="shared" si="19"/>
        <v>3.5118794185745914</v>
      </c>
      <c r="M176" s="1199">
        <f t="shared" si="20"/>
        <v>0.06790865780970025</v>
      </c>
      <c r="N176" s="1205">
        <f t="shared" si="21"/>
        <v>0.004774769741069902</v>
      </c>
      <c r="O176" s="1206">
        <f t="shared" si="22"/>
        <v>468.2120816935138</v>
      </c>
      <c r="P176" s="1314">
        <f t="shared" si="23"/>
        <v>0.4682120816935138</v>
      </c>
      <c r="Q176" s="1201">
        <f t="shared" si="24"/>
        <v>4.682120816935138</v>
      </c>
    </row>
    <row r="177" spans="1:17" ht="15" customHeight="1">
      <c r="A177" s="1177">
        <v>85000</v>
      </c>
      <c r="B177" s="1222">
        <v>25908.00706770433</v>
      </c>
      <c r="C177" s="1225">
        <v>0.644855261728287</v>
      </c>
      <c r="D177" s="427">
        <v>16.379323561691525</v>
      </c>
      <c r="E177" s="1198">
        <v>0.31672439350344556</v>
      </c>
      <c r="F177" s="1207">
        <v>0.022269414521441912</v>
      </c>
      <c r="G177" s="1208">
        <f t="shared" si="25"/>
        <v>2183.7302103794655</v>
      </c>
      <c r="H177" s="1315">
        <f t="shared" si="26"/>
        <v>2.1837302103794656</v>
      </c>
      <c r="I177" s="1202">
        <v>21.837302103794656</v>
      </c>
      <c r="K177" s="1225">
        <f t="shared" si="18"/>
        <v>0.13506493456898971</v>
      </c>
      <c r="L177" s="1184">
        <f t="shared" si="19"/>
        <v>3.4306493199962897</v>
      </c>
      <c r="M177" s="1198">
        <f t="shared" si="20"/>
        <v>0.06633792421929667</v>
      </c>
      <c r="N177" s="1207">
        <f t="shared" si="21"/>
        <v>0.004664328871516008</v>
      </c>
      <c r="O177" s="1208">
        <f t="shared" si="22"/>
        <v>457.38229256397904</v>
      </c>
      <c r="P177" s="1315">
        <f t="shared" si="23"/>
        <v>0.45738229256397905</v>
      </c>
      <c r="Q177" s="1202">
        <f t="shared" si="24"/>
        <v>4.57382292563979</v>
      </c>
    </row>
    <row r="178" spans="1:17" ht="15" customHeight="1">
      <c r="A178" s="1178">
        <v>85500</v>
      </c>
      <c r="B178" s="1219">
        <v>26060.407109279062</v>
      </c>
      <c r="C178" s="1223">
        <v>0.6299497906116768</v>
      </c>
      <c r="D178" s="421">
        <v>16.00072459732225</v>
      </c>
      <c r="E178" s="1197">
        <v>0.30940348510822074</v>
      </c>
      <c r="F178" s="1205">
        <v>0.02175466937685932</v>
      </c>
      <c r="G178" s="1206">
        <f t="shared" si="25"/>
        <v>2133.254499767996</v>
      </c>
      <c r="H178" s="1314">
        <f t="shared" si="26"/>
        <v>2.1332544997679963</v>
      </c>
      <c r="I178" s="1200">
        <v>21.33254499767996</v>
      </c>
      <c r="K178" s="1226">
        <f t="shared" si="18"/>
        <v>0.1319429836436157</v>
      </c>
      <c r="L178" s="1182">
        <f t="shared" si="19"/>
        <v>3.3513517669091453</v>
      </c>
      <c r="M178" s="1199">
        <f t="shared" si="20"/>
        <v>0.06480455995591683</v>
      </c>
      <c r="N178" s="1205">
        <f t="shared" si="21"/>
        <v>0.004556515500983184</v>
      </c>
      <c r="O178" s="1206">
        <f t="shared" si="22"/>
        <v>446.81015497640675</v>
      </c>
      <c r="P178" s="1314">
        <f t="shared" si="23"/>
        <v>0.4468101549764068</v>
      </c>
      <c r="Q178" s="1201">
        <f t="shared" si="24"/>
        <v>4.468101549764068</v>
      </c>
    </row>
    <row r="179" spans="1:17" ht="15" customHeight="1">
      <c r="A179" s="1176">
        <v>86000</v>
      </c>
      <c r="B179" s="1220">
        <v>26212.807150853794</v>
      </c>
      <c r="C179" s="1224">
        <v>0.6153986958423987</v>
      </c>
      <c r="D179" s="421">
        <v>15.631126792127839</v>
      </c>
      <c r="E179" s="1197">
        <v>0.30225663070672465</v>
      </c>
      <c r="F179" s="1205">
        <v>0.021252162255665393</v>
      </c>
      <c r="G179" s="1206">
        <f t="shared" si="25"/>
        <v>2083.9788450162546</v>
      </c>
      <c r="H179" s="1314">
        <f t="shared" si="26"/>
        <v>2.0839788450162544</v>
      </c>
      <c r="I179" s="1201">
        <v>20.839788450162544</v>
      </c>
      <c r="K179" s="1224">
        <f t="shared" si="18"/>
        <v>0.1288952568441904</v>
      </c>
      <c r="L179" s="1182">
        <f t="shared" si="19"/>
        <v>3.2739395066111756</v>
      </c>
      <c r="M179" s="1199">
        <f t="shared" si="20"/>
        <v>0.06330765130152348</v>
      </c>
      <c r="N179" s="1205">
        <f t="shared" si="21"/>
        <v>0.004451265384449117</v>
      </c>
      <c r="O179" s="1206">
        <f t="shared" si="22"/>
        <v>436.48936908865454</v>
      </c>
      <c r="P179" s="1314">
        <f t="shared" si="23"/>
        <v>0.4364893690886545</v>
      </c>
      <c r="Q179" s="1201">
        <f t="shared" si="24"/>
        <v>4.364893690886545</v>
      </c>
    </row>
    <row r="180" spans="1:17" ht="15" customHeight="1">
      <c r="A180" s="1176">
        <v>86500</v>
      </c>
      <c r="B180" s="1220">
        <v>26365.207192428526</v>
      </c>
      <c r="C180" s="1224">
        <v>0.6011933184128101</v>
      </c>
      <c r="D180" s="421">
        <v>15.270310207315324</v>
      </c>
      <c r="E180" s="1197">
        <v>0.2952795773772447</v>
      </c>
      <c r="F180" s="1205">
        <v>0.020761594127919638</v>
      </c>
      <c r="G180" s="1206">
        <f t="shared" si="25"/>
        <v>2035.8739233634542</v>
      </c>
      <c r="H180" s="1314">
        <f t="shared" si="26"/>
        <v>2.035873923363454</v>
      </c>
      <c r="I180" s="1201">
        <v>20.35873923363454</v>
      </c>
      <c r="K180" s="1224">
        <f t="shared" si="18"/>
        <v>0.12591994054156308</v>
      </c>
      <c r="L180" s="1182">
        <f t="shared" si="19"/>
        <v>3.198366472922195</v>
      </c>
      <c r="M180" s="1199">
        <f t="shared" si="20"/>
        <v>0.0618463074816639</v>
      </c>
      <c r="N180" s="1205">
        <f t="shared" si="21"/>
        <v>0.004348515890092768</v>
      </c>
      <c r="O180" s="1206">
        <f t="shared" si="22"/>
        <v>426.4137932484755</v>
      </c>
      <c r="P180" s="1314">
        <f t="shared" si="23"/>
        <v>0.42641379324847545</v>
      </c>
      <c r="Q180" s="1201">
        <f t="shared" si="24"/>
        <v>4.264137932484754</v>
      </c>
    </row>
    <row r="181" spans="1:17" ht="15" customHeight="1">
      <c r="A181" s="1176">
        <v>87000</v>
      </c>
      <c r="B181" s="1221">
        <v>26517.607234003255</v>
      </c>
      <c r="C181" s="1224">
        <v>0.5873252165973423</v>
      </c>
      <c r="D181" s="421">
        <v>14.918060423056387</v>
      </c>
      <c r="E181" s="1197">
        <v>0.28846817891741666</v>
      </c>
      <c r="F181" s="1205">
        <v>0.020282673467294957</v>
      </c>
      <c r="G181" s="1206">
        <f t="shared" si="25"/>
        <v>1988.9111478502477</v>
      </c>
      <c r="H181" s="1314">
        <f t="shared" si="26"/>
        <v>1.9889111478502477</v>
      </c>
      <c r="I181" s="1201">
        <v>19.88911147850248</v>
      </c>
      <c r="K181" s="1224">
        <f t="shared" si="18"/>
        <v>0.12301526661631333</v>
      </c>
      <c r="L181" s="1182">
        <f t="shared" si="19"/>
        <v>3.12458775560916</v>
      </c>
      <c r="M181" s="1199">
        <f t="shared" si="20"/>
        <v>0.060419660074252916</v>
      </c>
      <c r="N181" s="1205">
        <f t="shared" si="21"/>
        <v>0.004248205957724929</v>
      </c>
      <c r="O181" s="1206">
        <f t="shared" si="22"/>
        <v>416.57743991723436</v>
      </c>
      <c r="P181" s="1314">
        <f t="shared" si="23"/>
        <v>0.4165774399172344</v>
      </c>
      <c r="Q181" s="1201">
        <f t="shared" si="24"/>
        <v>4.165774399172344</v>
      </c>
    </row>
    <row r="182" spans="1:17" ht="15" customHeight="1">
      <c r="A182" s="1177">
        <v>87500</v>
      </c>
      <c r="B182" s="1222">
        <v>26670.007275577987</v>
      </c>
      <c r="C182" s="1225">
        <v>0.5737861603572608</v>
      </c>
      <c r="D182" s="427">
        <v>14.574168396368277</v>
      </c>
      <c r="E182" s="1198">
        <v>0.2818183930960897</v>
      </c>
      <c r="F182" s="1207">
        <v>0.019815116057851766</v>
      </c>
      <c r="G182" s="1208">
        <f t="shared" si="25"/>
        <v>1943.0626483710732</v>
      </c>
      <c r="H182" s="1315">
        <f t="shared" si="26"/>
        <v>1.9430626483710733</v>
      </c>
      <c r="I182" s="1202">
        <v>19.430626483710732</v>
      </c>
      <c r="K182" s="1225">
        <f t="shared" si="18"/>
        <v>0.12017951128682827</v>
      </c>
      <c r="L182" s="1184">
        <f t="shared" si="19"/>
        <v>3.052559570619336</v>
      </c>
      <c r="M182" s="1198">
        <f t="shared" si="20"/>
        <v>0.059026862433975986</v>
      </c>
      <c r="N182" s="1207">
        <f t="shared" si="21"/>
        <v>0.004150276058317052</v>
      </c>
      <c r="O182" s="1208">
        <f t="shared" si="22"/>
        <v>406.9744717013213</v>
      </c>
      <c r="P182" s="1315">
        <f t="shared" si="23"/>
        <v>0.4069744717013213</v>
      </c>
      <c r="Q182" s="1202">
        <f t="shared" si="24"/>
        <v>4.069744717013212</v>
      </c>
    </row>
    <row r="183" spans="1:17" ht="15" customHeight="1">
      <c r="A183" s="1178">
        <v>88000</v>
      </c>
      <c r="B183" s="1219">
        <v>26822.40731715272</v>
      </c>
      <c r="C183" s="1223">
        <v>0.5605681258931997</v>
      </c>
      <c r="D183" s="421">
        <v>14.238430322748167</v>
      </c>
      <c r="E183" s="1197">
        <v>0.2753262789777724</v>
      </c>
      <c r="F183" s="1205">
        <v>0.01935864480591537</v>
      </c>
      <c r="G183" s="1206">
        <f t="shared" si="25"/>
        <v>1898.3012532269186</v>
      </c>
      <c r="H183" s="1314">
        <f t="shared" si="26"/>
        <v>1.8983012532269186</v>
      </c>
      <c r="I183" s="1200">
        <v>18.983012532269186</v>
      </c>
      <c r="K183" s="1226">
        <f t="shared" si="18"/>
        <v>0.11741099396833067</v>
      </c>
      <c r="L183" s="1182">
        <f t="shared" si="19"/>
        <v>2.9822392310996038</v>
      </c>
      <c r="M183" s="1199">
        <f t="shared" si="20"/>
        <v>0.05766708913189443</v>
      </c>
      <c r="N183" s="1205">
        <f t="shared" si="21"/>
        <v>0.004054668154598974</v>
      </c>
      <c r="O183" s="1206">
        <f t="shared" si="22"/>
        <v>397.5991974883781</v>
      </c>
      <c r="P183" s="1314">
        <f t="shared" si="23"/>
        <v>0.3975991974883781</v>
      </c>
      <c r="Q183" s="1201">
        <f t="shared" si="24"/>
        <v>3.975991974883781</v>
      </c>
    </row>
    <row r="184" spans="1:17" ht="15" customHeight="1">
      <c r="A184" s="1176">
        <v>88500</v>
      </c>
      <c r="B184" s="1220">
        <v>26974.807358727452</v>
      </c>
      <c r="C184" s="1224">
        <v>0.5476632903414586</v>
      </c>
      <c r="D184" s="421">
        <v>13.910647501459113</v>
      </c>
      <c r="E184" s="1197">
        <v>0.26898799431768833</v>
      </c>
      <c r="F184" s="1205">
        <v>0.01891298955691803</v>
      </c>
      <c r="G184" s="1206">
        <f t="shared" si="25"/>
        <v>1854.600471164927</v>
      </c>
      <c r="H184" s="1314">
        <f t="shared" si="26"/>
        <v>1.854600471164927</v>
      </c>
      <c r="I184" s="1201">
        <v>18.54600471164927</v>
      </c>
      <c r="K184" s="1224">
        <f t="shared" si="18"/>
        <v>0.11470807616201849</v>
      </c>
      <c r="L184" s="1182">
        <f t="shared" si="19"/>
        <v>2.913585119180611</v>
      </c>
      <c r="M184" s="1199">
        <f t="shared" si="20"/>
        <v>0.05633953540983982</v>
      </c>
      <c r="N184" s="1205">
        <f t="shared" si="21"/>
        <v>0.003961325662696482</v>
      </c>
      <c r="O184" s="1206">
        <f t="shared" si="22"/>
        <v>388.44606868549397</v>
      </c>
      <c r="P184" s="1314">
        <f t="shared" si="23"/>
        <v>0.388446068685494</v>
      </c>
      <c r="Q184" s="1201">
        <f t="shared" si="24"/>
        <v>3.88446068685494</v>
      </c>
    </row>
    <row r="185" spans="1:17" ht="15" customHeight="1">
      <c r="A185" s="1176">
        <v>89000</v>
      </c>
      <c r="B185" s="1220">
        <v>27127.20740030218</v>
      </c>
      <c r="C185" s="1224">
        <v>0.5350640266101587</v>
      </c>
      <c r="D185" s="421">
        <v>13.590626204368421</v>
      </c>
      <c r="E185" s="1197">
        <v>0.2627997930255241</v>
      </c>
      <c r="F185" s="1205">
        <v>0.018477886917070908</v>
      </c>
      <c r="G185" s="1206">
        <f t="shared" si="25"/>
        <v>1811.9344738916186</v>
      </c>
      <c r="H185" s="1314">
        <f t="shared" si="26"/>
        <v>1.8119344738916185</v>
      </c>
      <c r="I185" s="1201">
        <v>18.119344738916187</v>
      </c>
      <c r="K185" s="1224">
        <f t="shared" si="18"/>
        <v>0.11206916037349775</v>
      </c>
      <c r="L185" s="1182">
        <f t="shared" si="19"/>
        <v>2.8465566585049658</v>
      </c>
      <c r="M185" s="1199">
        <f t="shared" si="20"/>
        <v>0.05504341664919602</v>
      </c>
      <c r="N185" s="1205">
        <f t="shared" si="21"/>
        <v>0.0038701934147805017</v>
      </c>
      <c r="O185" s="1206">
        <f t="shared" si="22"/>
        <v>379.5096755565995</v>
      </c>
      <c r="P185" s="1314">
        <f t="shared" si="23"/>
        <v>0.3795096755565995</v>
      </c>
      <c r="Q185" s="1201">
        <f t="shared" si="24"/>
        <v>3.795096755565995</v>
      </c>
    </row>
    <row r="186" spans="1:17" ht="15" customHeight="1">
      <c r="A186" s="1176">
        <v>89500</v>
      </c>
      <c r="B186" s="1221">
        <v>27279.607441876913</v>
      </c>
      <c r="C186" s="1224">
        <v>0.5227628983515068</v>
      </c>
      <c r="D186" s="421">
        <v>13.278177548243129</v>
      </c>
      <c r="E186" s="1197">
        <v>0.25675802269602765</v>
      </c>
      <c r="F186" s="1205">
        <v>0.01805308007973635</v>
      </c>
      <c r="G186" s="1206">
        <f t="shared" si="25"/>
        <v>1770.2780790470197</v>
      </c>
      <c r="H186" s="1314">
        <f t="shared" si="26"/>
        <v>1.7702780790470196</v>
      </c>
      <c r="I186" s="1201">
        <v>17.702780790470197</v>
      </c>
      <c r="K186" s="1224">
        <f t="shared" si="18"/>
        <v>0.10949268905972309</v>
      </c>
      <c r="L186" s="1182">
        <f t="shared" si="19"/>
        <v>2.7811142874795234</v>
      </c>
      <c r="M186" s="1199">
        <f t="shared" si="20"/>
        <v>0.05377796785368299</v>
      </c>
      <c r="N186" s="1205">
        <f t="shared" si="21"/>
        <v>0.003781217622700778</v>
      </c>
      <c r="O186" s="1206">
        <f t="shared" si="22"/>
        <v>370.7847436563983</v>
      </c>
      <c r="P186" s="1314">
        <f t="shared" si="23"/>
        <v>0.37078474365639824</v>
      </c>
      <c r="Q186" s="1201">
        <f t="shared" si="24"/>
        <v>3.7078474365639824</v>
      </c>
    </row>
    <row r="187" spans="1:17" ht="15" customHeight="1">
      <c r="A187" s="1177">
        <v>90000</v>
      </c>
      <c r="B187" s="1222">
        <v>27432.007483451645</v>
      </c>
      <c r="C187" s="1225">
        <v>0.5107526550664439</v>
      </c>
      <c r="D187" s="427">
        <v>12.97311737040811</v>
      </c>
      <c r="E187" s="1198">
        <v>0.25085912220462836</v>
      </c>
      <c r="F187" s="1207">
        <v>0.017638318656371974</v>
      </c>
      <c r="G187" s="1208">
        <f t="shared" si="25"/>
        <v>1729.6067336271076</v>
      </c>
      <c r="H187" s="1315">
        <f t="shared" si="26"/>
        <v>1.7296067336271075</v>
      </c>
      <c r="I187" s="1202">
        <v>17.296067336271076</v>
      </c>
      <c r="K187" s="1225">
        <f t="shared" si="18"/>
        <v>0.10697714360366667</v>
      </c>
      <c r="L187" s="1184">
        <f t="shared" si="19"/>
        <v>2.7172194332319783</v>
      </c>
      <c r="M187" s="1198">
        <f t="shared" si="20"/>
        <v>0.05254244314575941</v>
      </c>
      <c r="N187" s="1207">
        <f t="shared" si="21"/>
        <v>0.00369434584257711</v>
      </c>
      <c r="O187" s="1208">
        <f t="shared" si="22"/>
        <v>362.2661303581977</v>
      </c>
      <c r="P187" s="1315">
        <f t="shared" si="23"/>
        <v>0.36226613035819766</v>
      </c>
      <c r="Q187" s="1202">
        <f t="shared" si="24"/>
        <v>3.622661303581977</v>
      </c>
    </row>
    <row r="188" spans="1:17" ht="15" customHeight="1">
      <c r="A188" s="1178">
        <v>90500</v>
      </c>
      <c r="B188" s="1219">
        <v>27584.407525026378</v>
      </c>
      <c r="C188" s="1223">
        <v>0.4990262273381792</v>
      </c>
      <c r="D188" s="421">
        <v>12.675266107677826</v>
      </c>
      <c r="E188" s="1197">
        <v>0.24509961936635963</v>
      </c>
      <c r="F188" s="1205">
        <v>0.017233358511925655</v>
      </c>
      <c r="G188" s="1206">
        <f t="shared" si="25"/>
        <v>1689.896497842705</v>
      </c>
      <c r="H188" s="1314">
        <f t="shared" si="26"/>
        <v>1.689896497842705</v>
      </c>
      <c r="I188" s="1200">
        <v>16.89896497842705</v>
      </c>
      <c r="K188" s="1226">
        <f t="shared" si="18"/>
        <v>0.10452104331598164</v>
      </c>
      <c r="L188" s="1182">
        <f t="shared" si="19"/>
        <v>2.6548344862531206</v>
      </c>
      <c r="M188" s="1199">
        <f t="shared" si="20"/>
        <v>0.051336115276284025</v>
      </c>
      <c r="N188" s="1205">
        <f t="shared" si="21"/>
        <v>0.0036095269403228283</v>
      </c>
      <c r="O188" s="1206">
        <f t="shared" si="22"/>
        <v>353.94882147315457</v>
      </c>
      <c r="P188" s="1314">
        <f t="shared" si="23"/>
        <v>0.35394882147315454</v>
      </c>
      <c r="Q188" s="1201">
        <f t="shared" si="24"/>
        <v>3.5394882147315454</v>
      </c>
    </row>
    <row r="189" spans="1:17" ht="15" customHeight="1">
      <c r="A189" s="1176">
        <v>91000</v>
      </c>
      <c r="B189" s="1220">
        <v>27736.807566601106</v>
      </c>
      <c r="C189" s="1224">
        <v>0.4875767221910399</v>
      </c>
      <c r="D189" s="421">
        <v>12.384448678471106</v>
      </c>
      <c r="E189" s="1197">
        <v>0.23947612865633072</v>
      </c>
      <c r="F189" s="1205">
        <v>0.016837961604558152</v>
      </c>
      <c r="G189" s="1206">
        <f t="shared" si="25"/>
        <v>1651.124029402743</v>
      </c>
      <c r="H189" s="1314">
        <f t="shared" si="26"/>
        <v>1.651124029402743</v>
      </c>
      <c r="I189" s="1201">
        <v>16.51124029402743</v>
      </c>
      <c r="K189" s="1224">
        <f t="shared" si="18"/>
        <v>0.10212294446291331</v>
      </c>
      <c r="L189" s="1182">
        <f t="shared" si="19"/>
        <v>2.593922775705773</v>
      </c>
      <c r="M189" s="1199">
        <f t="shared" si="20"/>
        <v>0.05015827514706847</v>
      </c>
      <c r="N189" s="1205">
        <f t="shared" si="21"/>
        <v>0.003526711058074705</v>
      </c>
      <c r="O189" s="1206">
        <f t="shared" si="22"/>
        <v>345.82792795840453</v>
      </c>
      <c r="P189" s="1314">
        <f t="shared" si="23"/>
        <v>0.3458279279584045</v>
      </c>
      <c r="Q189" s="1201">
        <f t="shared" si="24"/>
        <v>3.4582792795840454</v>
      </c>
    </row>
    <row r="190" spans="1:17" ht="15" customHeight="1">
      <c r="A190" s="1176">
        <v>91500</v>
      </c>
      <c r="B190" s="1220">
        <v>27889.20760817584</v>
      </c>
      <c r="C190" s="1224">
        <v>0.4763974185713573</v>
      </c>
      <c r="D190" s="421">
        <v>12.100494368025664</v>
      </c>
      <c r="E190" s="1197">
        <v>0.23398534899013834</v>
      </c>
      <c r="F190" s="1205">
        <v>0.01645189582958016</v>
      </c>
      <c r="G190" s="1206">
        <f t="shared" si="25"/>
        <v>1613.26656821079</v>
      </c>
      <c r="H190" s="1314">
        <f t="shared" si="26"/>
        <v>1.61326656821079</v>
      </c>
      <c r="I190" s="1201">
        <v>16.1326656821079</v>
      </c>
      <c r="K190" s="1224">
        <f t="shared" si="18"/>
        <v>0.09978143931977079</v>
      </c>
      <c r="L190" s="1182">
        <f t="shared" si="19"/>
        <v>2.5344485453829755</v>
      </c>
      <c r="M190" s="1199">
        <f t="shared" si="20"/>
        <v>0.049008231345984477</v>
      </c>
      <c r="N190" s="1205">
        <f t="shared" si="21"/>
        <v>0.003445849581505564</v>
      </c>
      <c r="O190" s="1206">
        <f t="shared" si="22"/>
        <v>337.8986827117499</v>
      </c>
      <c r="P190" s="1314">
        <f t="shared" si="23"/>
        <v>0.33789868271175</v>
      </c>
      <c r="Q190" s="1201">
        <f t="shared" si="24"/>
        <v>3.378986827117499</v>
      </c>
    </row>
    <row r="191" spans="1:17" ht="15" customHeight="1">
      <c r="A191" s="1176">
        <v>92000</v>
      </c>
      <c r="B191" s="1221">
        <v>28041.60764975057</v>
      </c>
      <c r="C191" s="1224">
        <v>0.4654817629470046</v>
      </c>
      <c r="D191" s="421">
        <v>11.823236716626356</v>
      </c>
      <c r="E191" s="1197">
        <v>0.22862406156255383</v>
      </c>
      <c r="F191" s="1205">
        <v>0.016074934867486863</v>
      </c>
      <c r="G191" s="1206">
        <f t="shared" si="25"/>
        <v>1576.3019214633757</v>
      </c>
      <c r="H191" s="1314">
        <f t="shared" si="26"/>
        <v>1.5763019214633758</v>
      </c>
      <c r="I191" s="1201">
        <v>15.763019214633758</v>
      </c>
      <c r="K191" s="1224">
        <f t="shared" si="18"/>
        <v>0.09749515524925012</v>
      </c>
      <c r="L191" s="1182">
        <f t="shared" si="19"/>
        <v>2.4763769302973904</v>
      </c>
      <c r="M191" s="1199">
        <f t="shared" si="20"/>
        <v>0.0478853096942769</v>
      </c>
      <c r="N191" s="1205">
        <f t="shared" si="21"/>
        <v>0.0033668951079951232</v>
      </c>
      <c r="O191" s="1206">
        <f t="shared" si="22"/>
        <v>330.15643745050403</v>
      </c>
      <c r="P191" s="1314">
        <f t="shared" si="23"/>
        <v>0.33015643745050405</v>
      </c>
      <c r="Q191" s="1201">
        <f t="shared" si="24"/>
        <v>3.3015643745050407</v>
      </c>
    </row>
    <row r="192" spans="1:17" ht="15" customHeight="1">
      <c r="A192" s="1177">
        <v>92500</v>
      </c>
      <c r="B192" s="1222">
        <v>28194.007691325303</v>
      </c>
      <c r="C192" s="1225">
        <v>0.4548233650224879</v>
      </c>
      <c r="D192" s="427">
        <v>11.55251341076849</v>
      </c>
      <c r="E192" s="1198">
        <v>0.22338912774296543</v>
      </c>
      <c r="F192" s="1207">
        <v>0.015706858035983002</v>
      </c>
      <c r="G192" s="1208">
        <f t="shared" si="25"/>
        <v>1540.208449139628</v>
      </c>
      <c r="H192" s="1315">
        <f t="shared" si="26"/>
        <v>1.5402084491396282</v>
      </c>
      <c r="I192" s="1202">
        <v>15.40208449139628</v>
      </c>
      <c r="K192" s="1225">
        <f t="shared" si="18"/>
        <v>0.09526275380396008</v>
      </c>
      <c r="L192" s="1184">
        <f t="shared" si="19"/>
        <v>2.4196739338854605</v>
      </c>
      <c r="M192" s="1198">
        <f t="shared" si="20"/>
        <v>0.04678885280576411</v>
      </c>
      <c r="N192" s="1207">
        <f t="shared" si="21"/>
        <v>0.00328980141563664</v>
      </c>
      <c r="O192" s="1208">
        <f t="shared" si="22"/>
        <v>322.5966596722951</v>
      </c>
      <c r="P192" s="1315">
        <f t="shared" si="23"/>
        <v>0.3225966596722951</v>
      </c>
      <c r="Q192" s="1202">
        <f t="shared" si="24"/>
        <v>3.2259665967229507</v>
      </c>
    </row>
    <row r="193" spans="1:17" ht="15" customHeight="1">
      <c r="A193" s="1176">
        <v>93000</v>
      </c>
      <c r="B193" s="1219">
        <v>28346.407732900032</v>
      </c>
      <c r="C193" s="1223">
        <v>0.444415993566393</v>
      </c>
      <c r="D193" s="421">
        <v>11.288166177174983</v>
      </c>
      <c r="E193" s="1197">
        <v>0.21827748702600464</v>
      </c>
      <c r="F193" s="1205">
        <v>0.01534745014588804</v>
      </c>
      <c r="G193" s="1206">
        <f t="shared" si="25"/>
        <v>1504.9650498713881</v>
      </c>
      <c r="H193" s="1314">
        <f t="shared" si="26"/>
        <v>1.5049650498713882</v>
      </c>
      <c r="I193" s="1200">
        <v>15.049650498713882</v>
      </c>
      <c r="K193" s="1226">
        <f t="shared" si="18"/>
        <v>0.09308292985248101</v>
      </c>
      <c r="L193" s="1182">
        <f t="shared" si="19"/>
        <v>2.3643064058093</v>
      </c>
      <c r="M193" s="1199">
        <f t="shared" si="20"/>
        <v>0.04571821965759667</v>
      </c>
      <c r="N193" s="1205">
        <f t="shared" si="21"/>
        <v>0.00321452343305625</v>
      </c>
      <c r="O193" s="1206">
        <f t="shared" si="22"/>
        <v>315.21492969556226</v>
      </c>
      <c r="P193" s="1314">
        <f t="shared" si="23"/>
        <v>0.31521492969556225</v>
      </c>
      <c r="Q193" s="1201">
        <f t="shared" si="24"/>
        <v>3.1521492969556224</v>
      </c>
    </row>
    <row r="194" spans="1:17" ht="15" customHeight="1">
      <c r="A194" s="1176">
        <v>93500</v>
      </c>
      <c r="B194" s="1220">
        <v>28498.807774474764</v>
      </c>
      <c r="C194" s="1224">
        <v>0.43425357234823725</v>
      </c>
      <c r="D194" s="421">
        <v>11.030040679592382</v>
      </c>
      <c r="E194" s="1197">
        <v>0.2132861550359074</v>
      </c>
      <c r="F194" s="1205">
        <v>0.014996501360819484</v>
      </c>
      <c r="G194" s="1206">
        <f t="shared" si="25"/>
        <v>1470.5511471838133</v>
      </c>
      <c r="H194" s="1314">
        <f t="shared" si="26"/>
        <v>1.4705511471838133</v>
      </c>
      <c r="I194" s="1201">
        <v>14.705511471838133</v>
      </c>
      <c r="K194" s="1224">
        <f t="shared" si="18"/>
        <v>0.09095441072833829</v>
      </c>
      <c r="L194" s="1182">
        <f t="shared" si="19"/>
        <v>2.3102420203406244</v>
      </c>
      <c r="M194" s="1199">
        <f t="shared" si="20"/>
        <v>0.0446727851722708</v>
      </c>
      <c r="N194" s="1205">
        <f t="shared" si="21"/>
        <v>0.003141017210023641</v>
      </c>
      <c r="O194" s="1206">
        <f t="shared" si="22"/>
        <v>308.0069377776497</v>
      </c>
      <c r="P194" s="1314">
        <f t="shared" si="23"/>
        <v>0.3080069377776497</v>
      </c>
      <c r="Q194" s="1201">
        <f t="shared" si="24"/>
        <v>3.0800693777764967</v>
      </c>
    </row>
    <row r="195" spans="1:17" ht="15" customHeight="1">
      <c r="A195" s="1176">
        <v>94000</v>
      </c>
      <c r="B195" s="1220">
        <v>28651.207816049497</v>
      </c>
      <c r="C195" s="1224">
        <v>0.4243301761817482</v>
      </c>
      <c r="D195" s="421">
        <v>10.77798641829016</v>
      </c>
      <c r="E195" s="1197">
        <v>0.2084122215831476</v>
      </c>
      <c r="F195" s="1205">
        <v>0.01465380706055161</v>
      </c>
      <c r="G195" s="1206">
        <f t="shared" si="25"/>
        <v>1436.9466760963824</v>
      </c>
      <c r="H195" s="1314">
        <f t="shared" si="26"/>
        <v>1.4369466760963823</v>
      </c>
      <c r="I195" s="1201">
        <v>14.369466760963823</v>
      </c>
      <c r="K195" s="1224">
        <f t="shared" si="18"/>
        <v>0.08887595540126715</v>
      </c>
      <c r="L195" s="1182">
        <f t="shared" si="19"/>
        <v>2.257449255310874</v>
      </c>
      <c r="M195" s="1199">
        <f t="shared" si="20"/>
        <v>0.04365193981059026</v>
      </c>
      <c r="N195" s="1205">
        <f t="shared" si="21"/>
        <v>0.0030692398888325346</v>
      </c>
      <c r="O195" s="1206">
        <f t="shared" si="22"/>
        <v>300.96848130838725</v>
      </c>
      <c r="P195" s="1314">
        <f t="shared" si="23"/>
        <v>0.30096848130838727</v>
      </c>
      <c r="Q195" s="1201">
        <f t="shared" si="24"/>
        <v>3.0096848130838727</v>
      </c>
    </row>
    <row r="196" spans="1:17" ht="15" customHeight="1">
      <c r="A196" s="1176">
        <v>94500</v>
      </c>
      <c r="B196" s="1221">
        <v>28803.607857624225</v>
      </c>
      <c r="C196" s="1224">
        <v>0.4146400270717235</v>
      </c>
      <c r="D196" s="421">
        <v>10.531856632190953</v>
      </c>
      <c r="E196" s="1197">
        <v>0.20365284877194503</v>
      </c>
      <c r="F196" s="1205">
        <v>0.0143191677079512</v>
      </c>
      <c r="G196" s="1206">
        <f t="shared" si="25"/>
        <v>1404.1320700746687</v>
      </c>
      <c r="H196" s="1314">
        <f t="shared" si="26"/>
        <v>1.4041320700746687</v>
      </c>
      <c r="I196" s="1201">
        <v>14.041320700746688</v>
      </c>
      <c r="K196" s="1224">
        <f t="shared" si="18"/>
        <v>0.08684635367017249</v>
      </c>
      <c r="L196" s="1182">
        <f t="shared" si="19"/>
        <v>2.2058973716123953</v>
      </c>
      <c r="M196" s="1199">
        <f t="shared" si="20"/>
        <v>0.042655089175283885</v>
      </c>
      <c r="N196" s="1205">
        <f t="shared" si="21"/>
        <v>0.0029991496764303787</v>
      </c>
      <c r="O196" s="1206">
        <f t="shared" si="22"/>
        <v>294.09546207713936</v>
      </c>
      <c r="P196" s="1314">
        <f t="shared" si="23"/>
        <v>0.2940954620771393</v>
      </c>
      <c r="Q196" s="1201">
        <f t="shared" si="24"/>
        <v>2.940954620771394</v>
      </c>
    </row>
    <row r="197" spans="1:17" ht="15" customHeight="1">
      <c r="A197" s="1177">
        <v>95000</v>
      </c>
      <c r="B197" s="1222">
        <v>28956.007899198958</v>
      </c>
      <c r="C197" s="1225">
        <v>0.405177490461696</v>
      </c>
      <c r="D197" s="427">
        <v>10.291508203561246</v>
      </c>
      <c r="E197" s="1198">
        <v>0.19900526915728428</v>
      </c>
      <c r="F197" s="1207">
        <v>0.013992388719394521</v>
      </c>
      <c r="G197" s="1208">
        <f t="shared" si="25"/>
        <v>1372.088248323478</v>
      </c>
      <c r="H197" s="1315">
        <f t="shared" si="26"/>
        <v>1.372088248323478</v>
      </c>
      <c r="I197" s="1202">
        <v>13.72088248323478</v>
      </c>
      <c r="K197" s="1225">
        <f t="shared" si="18"/>
        <v>0.08486442537720222</v>
      </c>
      <c r="L197" s="1184">
        <f t="shared" si="19"/>
        <v>2.155556393235903</v>
      </c>
      <c r="M197" s="1198">
        <f t="shared" si="20"/>
        <v>0.041681653624993195</v>
      </c>
      <c r="N197" s="1207">
        <f t="shared" si="21"/>
        <v>0.0029307058172771826</v>
      </c>
      <c r="O197" s="1208">
        <f t="shared" si="22"/>
        <v>287.3838836113525</v>
      </c>
      <c r="P197" s="1315">
        <f t="shared" si="23"/>
        <v>0.2873838836113525</v>
      </c>
      <c r="Q197" s="1202">
        <f t="shared" si="24"/>
        <v>2.8738388361135248</v>
      </c>
    </row>
    <row r="198" spans="1:17" ht="15" customHeight="1">
      <c r="A198" s="1178">
        <v>95500</v>
      </c>
      <c r="B198" s="1219">
        <v>29108.40794077369</v>
      </c>
      <c r="C198" s="1223">
        <v>0.3959370715796909</v>
      </c>
      <c r="D198" s="421">
        <v>10.056801565193615</v>
      </c>
      <c r="E198" s="1197">
        <v>0.1944667839501123</v>
      </c>
      <c r="F198" s="1205">
        <v>0.013673280338571793</v>
      </c>
      <c r="G198" s="1206">
        <f t="shared" si="25"/>
        <v>1340.7966034121619</v>
      </c>
      <c r="H198" s="1314">
        <f t="shared" si="26"/>
        <v>1.340796603412162</v>
      </c>
      <c r="I198" s="1200">
        <v>13.407966034121618</v>
      </c>
      <c r="K198" s="1226">
        <f t="shared" si="18"/>
        <v>0.08292901964236625</v>
      </c>
      <c r="L198" s="1182">
        <f t="shared" si="19"/>
        <v>2.1063970878298024</v>
      </c>
      <c r="M198" s="1199">
        <f t="shared" si="20"/>
        <v>0.04073106789835102</v>
      </c>
      <c r="N198" s="1205">
        <f t="shared" si="21"/>
        <v>0.002863868566913862</v>
      </c>
      <c r="O198" s="1206">
        <f t="shared" si="22"/>
        <v>280.8298485846773</v>
      </c>
      <c r="P198" s="1314">
        <f t="shared" si="23"/>
        <v>0.2808298485846773</v>
      </c>
      <c r="Q198" s="1201">
        <f t="shared" si="24"/>
        <v>2.8082984858467728</v>
      </c>
    </row>
    <row r="199" spans="1:17" ht="15" customHeight="1">
      <c r="A199" s="1176">
        <v>96000</v>
      </c>
      <c r="B199" s="1220">
        <v>29260.807982348422</v>
      </c>
      <c r="C199" s="1224">
        <v>0.38691341187946626</v>
      </c>
      <c r="D199" s="421">
        <v>9.82760061001423</v>
      </c>
      <c r="E199" s="1197">
        <v>0.19003476126943303</v>
      </c>
      <c r="F199" s="1205">
        <v>0.013361657513589085</v>
      </c>
      <c r="G199" s="1206">
        <f t="shared" si="25"/>
        <v>1310.2389892232788</v>
      </c>
      <c r="H199" s="1314">
        <f t="shared" si="26"/>
        <v>1.3102389892232789</v>
      </c>
      <c r="I199" s="1201">
        <v>13.102389892232788</v>
      </c>
      <c r="K199" s="1224">
        <f aca="true" t="shared" si="27" ref="K199:K207">C199*$S$7</f>
        <v>0.0810390141181542</v>
      </c>
      <c r="L199" s="1182">
        <f aca="true" t="shared" si="28" ref="L199:L207">D199*$S$7</f>
        <v>2.05839094776748</v>
      </c>
      <c r="M199" s="1199">
        <f aca="true" t="shared" si="29" ref="M199:M207">E199*$S$7</f>
        <v>0.039802780747882745</v>
      </c>
      <c r="N199" s="1205">
        <f aca="true" t="shared" si="30" ref="N199:N207">F199*$S$7</f>
        <v>0.002798599166221234</v>
      </c>
      <c r="O199" s="1206">
        <f aca="true" t="shared" si="31" ref="O199:O207">G199*$S$7</f>
        <v>274.42955629281573</v>
      </c>
      <c r="P199" s="1314">
        <f aca="true" t="shared" si="32" ref="P199:P207">H199*$S$7</f>
        <v>0.27442955629281574</v>
      </c>
      <c r="Q199" s="1201">
        <f aca="true" t="shared" si="33" ref="Q199:Q207">I199*$S$7</f>
        <v>2.7442955629281576</v>
      </c>
    </row>
    <row r="200" spans="1:17" ht="15" customHeight="1">
      <c r="A200" s="1176">
        <v>96500</v>
      </c>
      <c r="B200" s="1220">
        <v>29413.20802392315</v>
      </c>
      <c r="C200" s="1224">
        <v>0.3781012855746494</v>
      </c>
      <c r="D200" s="421">
        <v>9.603772603049924</v>
      </c>
      <c r="E200" s="1197">
        <v>0.1857066344400285</v>
      </c>
      <c r="F200" s="1205">
        <v>0.013057339777278272</v>
      </c>
      <c r="G200" s="1206">
        <f aca="true" t="shared" si="34" ref="G200:G207">I200*100</f>
        <v>1280.3977092158336</v>
      </c>
      <c r="H200" s="1314">
        <f aca="true" t="shared" si="35" ref="H200:H207">G200/1000</f>
        <v>1.2803977092158336</v>
      </c>
      <c r="I200" s="1201">
        <v>12.803977092158336</v>
      </c>
      <c r="K200" s="1224">
        <f t="shared" si="27"/>
        <v>0.07919331426361031</v>
      </c>
      <c r="L200" s="1182">
        <f t="shared" si="28"/>
        <v>2.0115101717088066</v>
      </c>
      <c r="M200" s="1199">
        <f t="shared" si="29"/>
        <v>0.03889625458346397</v>
      </c>
      <c r="N200" s="1205">
        <f t="shared" si="30"/>
        <v>0.002734859816350934</v>
      </c>
      <c r="O200" s="1206">
        <f t="shared" si="31"/>
        <v>268.17930019525636</v>
      </c>
      <c r="P200" s="1314">
        <f t="shared" si="32"/>
        <v>0.2681793001952564</v>
      </c>
      <c r="Q200" s="1201">
        <f t="shared" si="33"/>
        <v>2.6817930019525633</v>
      </c>
    </row>
    <row r="201" spans="1:17" ht="15" customHeight="1">
      <c r="A201" s="1176">
        <v>97000</v>
      </c>
      <c r="B201" s="1221">
        <v>29565.608065497883</v>
      </c>
      <c r="C201" s="1224">
        <v>0.36949559626332396</v>
      </c>
      <c r="D201" s="421">
        <v>9.385188095692703</v>
      </c>
      <c r="E201" s="1197">
        <v>0.18147990033460518</v>
      </c>
      <c r="F201" s="1205">
        <v>0.012760151130630618</v>
      </c>
      <c r="G201" s="1206">
        <f t="shared" si="34"/>
        <v>1251.2555049948198</v>
      </c>
      <c r="H201" s="1314">
        <f t="shared" si="35"/>
        <v>1.2512555049948197</v>
      </c>
      <c r="I201" s="1201">
        <v>12.512555049948197</v>
      </c>
      <c r="K201" s="1224">
        <f t="shared" si="27"/>
        <v>0.07739085263735321</v>
      </c>
      <c r="L201" s="1182">
        <f t="shared" si="28"/>
        <v>1.9657276466428366</v>
      </c>
      <c r="M201" s="1199">
        <f t="shared" si="29"/>
        <v>0.038010965125083056</v>
      </c>
      <c r="N201" s="1205">
        <f t="shared" si="30"/>
        <v>0.002672613654310583</v>
      </c>
      <c r="O201" s="1206">
        <f t="shared" si="31"/>
        <v>262.07546552116503</v>
      </c>
      <c r="P201" s="1314">
        <f t="shared" si="32"/>
        <v>0.262075465521165</v>
      </c>
      <c r="Q201" s="1201">
        <f t="shared" si="33"/>
        <v>2.62075465521165</v>
      </c>
    </row>
    <row r="202" spans="1:17" ht="15" customHeight="1">
      <c r="A202" s="1177">
        <v>97500</v>
      </c>
      <c r="B202" s="1222">
        <v>29718.008107072616</v>
      </c>
      <c r="C202" s="1225">
        <v>0.3610913736406054</v>
      </c>
      <c r="D202" s="427">
        <v>9.171720842199163</v>
      </c>
      <c r="E202" s="1198">
        <v>0.17735211775915644</v>
      </c>
      <c r="F202" s="1207">
        <v>0.012469919929268942</v>
      </c>
      <c r="G202" s="1208">
        <f t="shared" si="34"/>
        <v>1222.7955451787238</v>
      </c>
      <c r="H202" s="1315">
        <f t="shared" si="35"/>
        <v>1.2227955451787238</v>
      </c>
      <c r="I202" s="1202">
        <v>12.227955451787238</v>
      </c>
      <c r="K202" s="1225">
        <f t="shared" si="27"/>
        <v>0.0756305882090248</v>
      </c>
      <c r="L202" s="1184">
        <f t="shared" si="28"/>
        <v>1.9210169303986147</v>
      </c>
      <c r="M202" s="1198">
        <f t="shared" si="29"/>
        <v>0.03714640106465532</v>
      </c>
      <c r="N202" s="1207">
        <f t="shared" si="30"/>
        <v>0.00261182472918538</v>
      </c>
      <c r="O202" s="1208">
        <f t="shared" si="31"/>
        <v>256.1145269376837</v>
      </c>
      <c r="P202" s="1315">
        <f t="shared" si="32"/>
        <v>0.2561145269376837</v>
      </c>
      <c r="Q202" s="1202">
        <f t="shared" si="33"/>
        <v>2.561145269376837</v>
      </c>
    </row>
    <row r="203" spans="1:17" ht="15" customHeight="1">
      <c r="A203" s="1178">
        <v>98000</v>
      </c>
      <c r="B203" s="1219">
        <v>29870.408148647348</v>
      </c>
      <c r="C203" s="1223">
        <v>0.3528837702968931</v>
      </c>
      <c r="D203" s="421">
        <v>8.963247718366098</v>
      </c>
      <c r="E203" s="1197">
        <v>0.17332090588040547</v>
      </c>
      <c r="F203" s="1205">
        <v>0.012186478772878538</v>
      </c>
      <c r="G203" s="1206">
        <f t="shared" si="34"/>
        <v>1195.0014145571643</v>
      </c>
      <c r="H203" s="1314">
        <f t="shared" si="35"/>
        <v>1.1950014145571644</v>
      </c>
      <c r="I203" s="1200">
        <v>11.950014145571643</v>
      </c>
      <c r="K203" s="1226">
        <f t="shared" si="27"/>
        <v>0.07391150568868426</v>
      </c>
      <c r="L203" s="1182">
        <f t="shared" si="28"/>
        <v>1.8773522346117792</v>
      </c>
      <c r="M203" s="1199">
        <f t="shared" si="29"/>
        <v>0.03630206373665092</v>
      </c>
      <c r="N203" s="1205">
        <f t="shared" si="30"/>
        <v>0.00255245797897941</v>
      </c>
      <c r="O203" s="1206">
        <f t="shared" si="31"/>
        <v>250.29304627899805</v>
      </c>
      <c r="P203" s="1314">
        <f t="shared" si="32"/>
        <v>0.25029304627899807</v>
      </c>
      <c r="Q203" s="1201">
        <f t="shared" si="33"/>
        <v>2.5029304627899807</v>
      </c>
    </row>
    <row r="204" spans="1:17" ht="15" customHeight="1">
      <c r="A204" s="1176">
        <v>98500</v>
      </c>
      <c r="B204" s="1220">
        <v>30022.808190222077</v>
      </c>
      <c r="C204" s="1224">
        <v>0.34486805859948155</v>
      </c>
      <c r="D204" s="421">
        <v>8.759648642323418</v>
      </c>
      <c r="E204" s="1197">
        <v>0.16938394269419071</v>
      </c>
      <c r="F204" s="1205">
        <v>0.011909664397516827</v>
      </c>
      <c r="G204" s="1206">
        <f t="shared" si="34"/>
        <v>1167.8571035308162</v>
      </c>
      <c r="H204" s="1314">
        <f t="shared" si="35"/>
        <v>1.167857103530816</v>
      </c>
      <c r="I204" s="1201">
        <v>11.678571035308162</v>
      </c>
      <c r="K204" s="1224">
        <f t="shared" si="27"/>
        <v>0.07223261487366141</v>
      </c>
      <c r="L204" s="1182">
        <f t="shared" si="28"/>
        <v>1.8347084081346399</v>
      </c>
      <c r="M204" s="1199">
        <f t="shared" si="29"/>
        <v>0.03547746679729825</v>
      </c>
      <c r="N204" s="1205">
        <f t="shared" si="30"/>
        <v>0.0024944792080598996</v>
      </c>
      <c r="O204" s="1206">
        <f t="shared" si="31"/>
        <v>244.60767033452944</v>
      </c>
      <c r="P204" s="1314">
        <f t="shared" si="32"/>
        <v>0.24460767033452943</v>
      </c>
      <c r="Q204" s="1201">
        <f t="shared" si="33"/>
        <v>2.4460767033452946</v>
      </c>
    </row>
    <row r="205" spans="1:17" ht="15" customHeight="1">
      <c r="A205" s="1176">
        <v>99000</v>
      </c>
      <c r="B205" s="1220">
        <v>30175.20823179681</v>
      </c>
      <c r="C205" s="1224">
        <v>0.3370396276553228</v>
      </c>
      <c r="D205" s="421">
        <v>8.560806497388324</v>
      </c>
      <c r="E205" s="1197">
        <v>0.16553896353370895</v>
      </c>
      <c r="F205" s="1205">
        <v>0.011639317570725468</v>
      </c>
      <c r="G205" s="1206">
        <f t="shared" si="34"/>
        <v>1141.3469978261473</v>
      </c>
      <c r="H205" s="1314">
        <f t="shared" si="35"/>
        <v>1.1413469978261472</v>
      </c>
      <c r="I205" s="1201">
        <v>11.413469978261473</v>
      </c>
      <c r="K205" s="1224">
        <f t="shared" si="27"/>
        <v>0.07059295001240735</v>
      </c>
      <c r="L205" s="1182">
        <f t="shared" si="28"/>
        <v>1.7930609208779844</v>
      </c>
      <c r="M205" s="1199">
        <f t="shared" si="29"/>
        <v>0.03467213591213534</v>
      </c>
      <c r="N205" s="1205">
        <f t="shared" si="30"/>
        <v>0.0024378550651884493</v>
      </c>
      <c r="O205" s="1206">
        <f t="shared" si="31"/>
        <v>239.05512869468654</v>
      </c>
      <c r="P205" s="1314">
        <f t="shared" si="32"/>
        <v>0.23905512869468654</v>
      </c>
      <c r="Q205" s="1201">
        <f t="shared" si="33"/>
        <v>2.3905512869468653</v>
      </c>
    </row>
    <row r="206" spans="1:17" ht="15" customHeight="1">
      <c r="A206" s="1176">
        <v>99500</v>
      </c>
      <c r="B206" s="1221">
        <v>30327.60827337154</v>
      </c>
      <c r="C206" s="1224">
        <v>0.32939398035277023</v>
      </c>
      <c r="D206" s="421">
        <v>8.36660705692559</v>
      </c>
      <c r="E206" s="1197">
        <v>0.16178375961655062</v>
      </c>
      <c r="F206" s="1205">
        <v>0.011375282989370017</v>
      </c>
      <c r="G206" s="1206">
        <f t="shared" si="34"/>
        <v>1115.4558684776123</v>
      </c>
      <c r="H206" s="1314">
        <f t="shared" si="35"/>
        <v>1.1154558684776124</v>
      </c>
      <c r="I206" s="1201">
        <v>11.154558684776124</v>
      </c>
      <c r="K206" s="1224">
        <f t="shared" si="27"/>
        <v>0.06899156918488772</v>
      </c>
      <c r="L206" s="1182">
        <f t="shared" si="28"/>
        <v>1.7523858480730647</v>
      </c>
      <c r="M206" s="1199">
        <f t="shared" si="29"/>
        <v>0.033885608451686526</v>
      </c>
      <c r="N206" s="1205">
        <f t="shared" si="30"/>
        <v>0.00238255302212355</v>
      </c>
      <c r="O206" s="1206">
        <f t="shared" si="31"/>
        <v>233.63223165263588</v>
      </c>
      <c r="P206" s="1314">
        <f t="shared" si="32"/>
        <v>0.2336322316526359</v>
      </c>
      <c r="Q206" s="1201">
        <f t="shared" si="33"/>
        <v>2.336322316526359</v>
      </c>
    </row>
    <row r="207" spans="1:17" ht="15" customHeight="1">
      <c r="A207" s="1177">
        <v>100000</v>
      </c>
      <c r="B207" s="1222">
        <v>30480.008314946273</v>
      </c>
      <c r="C207" s="1225">
        <v>0.32192673048019915</v>
      </c>
      <c r="D207" s="427">
        <v>8.176938911160539</v>
      </c>
      <c r="E207" s="1198">
        <v>0.15811617662949376</v>
      </c>
      <c r="F207" s="1207">
        <v>0.011117409180134454</v>
      </c>
      <c r="G207" s="1208">
        <f t="shared" si="34"/>
        <v>1090.1688620701864</v>
      </c>
      <c r="H207" s="1315">
        <f t="shared" si="35"/>
        <v>1.0901688620701864</v>
      </c>
      <c r="I207" s="1202">
        <v>10.901688620701863</v>
      </c>
      <c r="K207" s="1225">
        <f t="shared" si="27"/>
        <v>0.06742755369907771</v>
      </c>
      <c r="L207" s="1184">
        <f t="shared" si="28"/>
        <v>1.7126598549425749</v>
      </c>
      <c r="M207" s="1198">
        <f t="shared" si="29"/>
        <v>0.033117433195047466</v>
      </c>
      <c r="N207" s="1207">
        <f t="shared" si="30"/>
        <v>0.0023285413527791613</v>
      </c>
      <c r="O207" s="1208">
        <f t="shared" si="31"/>
        <v>228.33586816060054</v>
      </c>
      <c r="P207" s="1315">
        <f t="shared" si="32"/>
        <v>0.22833586816060053</v>
      </c>
      <c r="Q207" s="1202">
        <f t="shared" si="33"/>
        <v>2.283358681606005</v>
      </c>
    </row>
    <row r="208" ht="15" customHeight="1">
      <c r="J208" s="1179"/>
    </row>
  </sheetData>
  <sheetProtection sheet="1"/>
  <mergeCells count="7">
    <mergeCell ref="A1:S1"/>
    <mergeCell ref="A4:B5"/>
    <mergeCell ref="C4:D5"/>
    <mergeCell ref="E4:I5"/>
    <mergeCell ref="K4:Q4"/>
    <mergeCell ref="K5:L5"/>
    <mergeCell ref="M5:Q5"/>
  </mergeCells>
  <conditionalFormatting sqref="E7:E207">
    <cfRule type="expression" priority="8" dxfId="18" stopIfTrue="1">
      <formula>"e7&lt;$M$7"</formula>
    </cfRule>
  </conditionalFormatting>
  <conditionalFormatting sqref="E7:E12">
    <cfRule type="expression" priority="7" dxfId="19" stopIfTrue="1">
      <formula>E7&lt;$M$7</formula>
    </cfRule>
  </conditionalFormatting>
  <conditionalFormatting sqref="E81:E82">
    <cfRule type="expression" priority="6" dxfId="19" stopIfTrue="1">
      <formula>E81&lt;$M$7</formula>
    </cfRule>
  </conditionalFormatting>
  <conditionalFormatting sqref="E8:E77">
    <cfRule type="expression" priority="5" dxfId="19" stopIfTrue="1">
      <formula>E8&lt;$M$7</formula>
    </cfRule>
  </conditionalFormatting>
  <conditionalFormatting sqref="E7">
    <cfRule type="expression" priority="4" dxfId="19" stopIfTrue="1">
      <formula>E7&lt;$M$7</formula>
    </cfRule>
  </conditionalFormatting>
  <conditionalFormatting sqref="E83:E87">
    <cfRule type="expression" priority="3" dxfId="19" stopIfTrue="1">
      <formula>E83&lt;$M$7</formula>
    </cfRule>
  </conditionalFormatting>
  <conditionalFormatting sqref="E82">
    <cfRule type="expression" priority="2" dxfId="19" stopIfTrue="1">
      <formula>E82&lt;$M$7</formula>
    </cfRule>
  </conditionalFormatting>
  <conditionalFormatting sqref="E88:E207">
    <cfRule type="expression" priority="1" dxfId="19" stopIfTrue="1">
      <formula>E88&lt;$M$7</formula>
    </cfRule>
  </conditionalFormatting>
  <printOptions/>
  <pageMargins left="0.7" right="0.7" top="0.75" bottom="0.75" header="0.5118055555555555" footer="0.511805555555555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U559"/>
  <sheetViews>
    <sheetView showGridLines="0" zoomScalePageLayoutView="0" workbookViewId="0" topLeftCell="A1">
      <selection activeCell="A1" sqref="A1:S1"/>
    </sheetView>
  </sheetViews>
  <sheetFormatPr defaultColWidth="9.140625" defaultRowHeight="15" customHeight="1"/>
  <cols>
    <col min="1" max="1" width="8.7109375" style="0" customWidth="1"/>
    <col min="2" max="2" width="8.7109375" style="434" customWidth="1"/>
    <col min="3" max="3" width="6.7109375" style="0" customWidth="1"/>
    <col min="4" max="4" width="6.7109375" style="79" customWidth="1"/>
    <col min="5" max="5" width="7.7109375" style="417" customWidth="1"/>
    <col min="6" max="6" width="7.7109375" style="1204" customWidth="1"/>
    <col min="7" max="8" width="7.7109375" style="232" customWidth="1"/>
    <col min="9" max="9" width="7.7109375" style="417" customWidth="1"/>
    <col min="10" max="10" width="1.7109375" style="232" customWidth="1"/>
    <col min="11" max="17" width="6.7109375" style="232" customWidth="1"/>
  </cols>
  <sheetData>
    <row r="1" spans="1:19" ht="15" customHeight="1">
      <c r="A1" s="1045" t="s">
        <v>208</v>
      </c>
      <c r="B1" s="1045"/>
      <c r="C1" s="1045"/>
      <c r="D1" s="1045"/>
      <c r="E1" s="1045"/>
      <c r="F1" s="1045"/>
      <c r="G1" s="1045"/>
      <c r="H1" s="1045"/>
      <c r="I1" s="1045"/>
      <c r="J1" s="1045"/>
      <c r="K1" s="1045"/>
      <c r="L1" s="1045"/>
      <c r="M1" s="1045"/>
      <c r="N1" s="1045"/>
      <c r="O1" s="1045"/>
      <c r="P1" s="1045"/>
      <c r="Q1" s="1045"/>
      <c r="R1" s="1045"/>
      <c r="S1" s="1045"/>
    </row>
    <row r="2" spans="1:19" ht="15" customHeight="1">
      <c r="A2" t="s">
        <v>392</v>
      </c>
      <c r="B2" s="1"/>
      <c r="C2" s="1"/>
      <c r="D2" s="1"/>
      <c r="E2" s="1175"/>
      <c r="F2" s="1203"/>
      <c r="G2" s="1175"/>
      <c r="H2" s="1175"/>
      <c r="I2" s="1175"/>
      <c r="J2" s="1175"/>
      <c r="K2" s="1175"/>
      <c r="L2" s="1175"/>
      <c r="M2" s="1175"/>
      <c r="N2" s="1175"/>
      <c r="O2" s="1175"/>
      <c r="P2" s="1175"/>
      <c r="Q2" s="1175"/>
      <c r="R2" s="1"/>
      <c r="S2" s="1"/>
    </row>
    <row r="4" spans="1:17" ht="15" customHeight="1">
      <c r="A4" s="1142" t="s">
        <v>147</v>
      </c>
      <c r="B4" s="1142"/>
      <c r="C4" s="1143" t="s">
        <v>148</v>
      </c>
      <c r="D4" s="1143"/>
      <c r="E4" s="1144" t="s">
        <v>149</v>
      </c>
      <c r="F4" s="1144"/>
      <c r="G4" s="1144"/>
      <c r="H4" s="1144"/>
      <c r="I4" s="1144"/>
      <c r="J4" s="1179"/>
      <c r="K4" s="1227" t="s">
        <v>205</v>
      </c>
      <c r="L4" s="1228"/>
      <c r="M4" s="1228"/>
      <c r="N4" s="1228"/>
      <c r="O4" s="1228"/>
      <c r="P4" s="1228"/>
      <c r="Q4" s="1229"/>
    </row>
    <row r="5" spans="1:19" ht="15" customHeight="1">
      <c r="A5" s="1142"/>
      <c r="B5" s="1142"/>
      <c r="C5" s="1143"/>
      <c r="D5" s="1143"/>
      <c r="E5" s="1144"/>
      <c r="F5" s="1144"/>
      <c r="G5" s="1144"/>
      <c r="H5" s="1144"/>
      <c r="I5" s="1144"/>
      <c r="J5" s="1179"/>
      <c r="K5" s="1230" t="s">
        <v>148</v>
      </c>
      <c r="L5" s="1143"/>
      <c r="M5" s="1143" t="s">
        <v>149</v>
      </c>
      <c r="N5" s="1143"/>
      <c r="O5" s="1143"/>
      <c r="P5" s="1143"/>
      <c r="Q5" s="1146"/>
      <c r="S5" s="417" t="s">
        <v>206</v>
      </c>
    </row>
    <row r="6" spans="1:21" ht="15" customHeight="1">
      <c r="A6" s="1247" t="s">
        <v>151</v>
      </c>
      <c r="B6" s="1248" t="s">
        <v>152</v>
      </c>
      <c r="C6" s="1241" t="s">
        <v>153</v>
      </c>
      <c r="D6" s="1242" t="s">
        <v>154</v>
      </c>
      <c r="E6" s="1244" t="s">
        <v>155</v>
      </c>
      <c r="F6" s="1242" t="s">
        <v>242</v>
      </c>
      <c r="G6" s="1242" t="s">
        <v>127</v>
      </c>
      <c r="H6" s="1242" t="s">
        <v>157</v>
      </c>
      <c r="I6" s="1241" t="s">
        <v>55</v>
      </c>
      <c r="J6" s="473"/>
      <c r="K6" s="1243" t="s">
        <v>153</v>
      </c>
      <c r="L6" s="1242" t="s">
        <v>154</v>
      </c>
      <c r="M6" s="1244" t="s">
        <v>155</v>
      </c>
      <c r="N6" s="1245" t="s">
        <v>242</v>
      </c>
      <c r="O6" s="1245" t="s">
        <v>127</v>
      </c>
      <c r="P6" s="1245" t="s">
        <v>157</v>
      </c>
      <c r="Q6" s="1246" t="s">
        <v>55</v>
      </c>
      <c r="S6" s="418" t="s">
        <v>207</v>
      </c>
      <c r="T6" s="417"/>
      <c r="U6" s="417"/>
    </row>
    <row r="7" spans="1:19" ht="15" customHeight="1">
      <c r="A7" s="1237">
        <v>0</v>
      </c>
      <c r="B7" s="1238">
        <v>0</v>
      </c>
      <c r="C7" s="1239">
        <v>29.92126</v>
      </c>
      <c r="D7" s="1240">
        <v>760</v>
      </c>
      <c r="E7" s="1233">
        <v>14.696</v>
      </c>
      <c r="F7" s="1234">
        <v>1.0333</v>
      </c>
      <c r="G7" s="1235">
        <f>I7*100</f>
        <v>101325.00000000001</v>
      </c>
      <c r="H7" s="1317">
        <f>G7/1000</f>
        <v>101.32500000000002</v>
      </c>
      <c r="I7" s="1236">
        <v>1013.2500000000001</v>
      </c>
      <c r="J7" s="1180"/>
      <c r="K7" s="1231">
        <f aca="true" t="shared" si="0" ref="K7:K70">C7*$S$7</f>
        <v>6.267007907</v>
      </c>
      <c r="L7" s="1232">
        <f aca="true" t="shared" si="1" ref="L7:L70">D7*$S$7</f>
        <v>159.182</v>
      </c>
      <c r="M7" s="1233">
        <f aca="true" t="shared" si="2" ref="M7:M70">E7*$S$7</f>
        <v>3.0780772</v>
      </c>
      <c r="N7" s="1234">
        <f aca="true" t="shared" si="3" ref="N7:N70">F7*$S$7</f>
        <v>0.21642468500000003</v>
      </c>
      <c r="O7" s="1235">
        <f aca="true" t="shared" si="4" ref="O7:O70">G7*$S$7</f>
        <v>21222.52125</v>
      </c>
      <c r="P7" s="1317">
        <f aca="true" t="shared" si="5" ref="P7:P70">H7*$S$7</f>
        <v>21.222521250000003</v>
      </c>
      <c r="Q7" s="1236">
        <f aca="true" t="shared" si="6" ref="Q7:Q70">I7*$S$7</f>
        <v>212.22521250000003</v>
      </c>
      <c r="S7" s="1164">
        <v>0.20945</v>
      </c>
    </row>
    <row r="8" spans="1:17" ht="15" customHeight="1">
      <c r="A8" s="1165">
        <v>333.33333333333337</v>
      </c>
      <c r="B8" s="1174">
        <v>100</v>
      </c>
      <c r="C8" s="1223">
        <v>29.56258960288627</v>
      </c>
      <c r="D8" s="421">
        <v>750.8897719612598</v>
      </c>
      <c r="E8" s="1197">
        <v>14.51983695887194</v>
      </c>
      <c r="F8" s="1205">
        <v>1.0209136860099604</v>
      </c>
      <c r="G8" s="1206">
        <f aca="true" t="shared" si="7" ref="G8:G71">I8*100</f>
        <v>100110.40282101928</v>
      </c>
      <c r="H8" s="1206">
        <f aca="true" t="shared" si="8" ref="H8:H71">G8/1000</f>
        <v>100.11040282101928</v>
      </c>
      <c r="I8" s="1200">
        <v>1001.1040282101928</v>
      </c>
      <c r="K8" s="1226">
        <f t="shared" si="0"/>
        <v>6.191884392324529</v>
      </c>
      <c r="L8" s="1182">
        <f t="shared" si="1"/>
        <v>157.27386273728587</v>
      </c>
      <c r="M8" s="1199">
        <f t="shared" si="2"/>
        <v>3.0411798510357277</v>
      </c>
      <c r="N8" s="1205">
        <f t="shared" si="3"/>
        <v>0.2138303715347862</v>
      </c>
      <c r="O8" s="1206">
        <f t="shared" si="4"/>
        <v>20968.123870862488</v>
      </c>
      <c r="P8" s="1206">
        <f t="shared" si="5"/>
        <v>20.968123870862488</v>
      </c>
      <c r="Q8" s="1201">
        <f t="shared" si="6"/>
        <v>209.68123870862487</v>
      </c>
    </row>
    <row r="9" spans="1:19" ht="15" customHeight="1">
      <c r="A9" s="1166">
        <v>666.6666666666667</v>
      </c>
      <c r="B9" s="1172">
        <v>200</v>
      </c>
      <c r="C9" s="1224">
        <v>29.20740858254722</v>
      </c>
      <c r="D9" s="421">
        <v>741.8681740921301</v>
      </c>
      <c r="E9" s="1197">
        <v>14.3453877453394</v>
      </c>
      <c r="F9" s="1205">
        <v>1.0086478740649976</v>
      </c>
      <c r="G9" s="1206">
        <f t="shared" si="7"/>
        <v>98907.62202616458</v>
      </c>
      <c r="H9" s="1206">
        <f t="shared" si="8"/>
        <v>98.90762202616457</v>
      </c>
      <c r="I9" s="1201">
        <v>989.0762202616459</v>
      </c>
      <c r="K9" s="1224">
        <f t="shared" si="0"/>
        <v>6.1174917276145155</v>
      </c>
      <c r="L9" s="1182">
        <f t="shared" si="1"/>
        <v>155.38428906359664</v>
      </c>
      <c r="M9" s="1199">
        <f t="shared" si="2"/>
        <v>3.004641463261337</v>
      </c>
      <c r="N9" s="1205">
        <f t="shared" si="3"/>
        <v>0.21126129722291373</v>
      </c>
      <c r="O9" s="1206">
        <f t="shared" si="4"/>
        <v>20716.20143338017</v>
      </c>
      <c r="P9" s="1206">
        <f t="shared" si="5"/>
        <v>20.71620143338017</v>
      </c>
      <c r="Q9" s="1201">
        <f t="shared" si="6"/>
        <v>207.16201433380172</v>
      </c>
      <c r="S9" s="435"/>
    </row>
    <row r="10" spans="1:21" ht="15" customHeight="1">
      <c r="A10" s="1166">
        <v>1000</v>
      </c>
      <c r="B10" s="1172">
        <v>300</v>
      </c>
      <c r="C10" s="1224">
        <v>28.855690908981558</v>
      </c>
      <c r="D10" s="421">
        <v>732.9345452305814</v>
      </c>
      <c r="E10" s="1197">
        <v>14.172639574616609</v>
      </c>
      <c r="F10" s="1205">
        <v>0.9965016652457366</v>
      </c>
      <c r="G10" s="1206">
        <f t="shared" si="7"/>
        <v>97716.56946774822</v>
      </c>
      <c r="H10" s="1206">
        <f t="shared" si="8"/>
        <v>97.71656946774823</v>
      </c>
      <c r="I10" s="1201">
        <v>977.1656946774823</v>
      </c>
      <c r="K10" s="1224">
        <f t="shared" si="0"/>
        <v>6.043824460886187</v>
      </c>
      <c r="L10" s="1182">
        <f t="shared" si="1"/>
        <v>153.51314049854528</v>
      </c>
      <c r="M10" s="1199">
        <f t="shared" si="2"/>
        <v>2.9684593589034485</v>
      </c>
      <c r="N10" s="1205">
        <f t="shared" si="3"/>
        <v>0.20871727378571953</v>
      </c>
      <c r="O10" s="1206">
        <f t="shared" si="4"/>
        <v>20466.735475019865</v>
      </c>
      <c r="P10" s="1206">
        <f t="shared" si="5"/>
        <v>20.466735475019867</v>
      </c>
      <c r="Q10" s="1201">
        <f t="shared" si="6"/>
        <v>204.66735475019865</v>
      </c>
      <c r="S10" s="436"/>
      <c r="T10" s="436"/>
      <c r="U10" s="436"/>
    </row>
    <row r="11" spans="1:21" ht="15" customHeight="1">
      <c r="A11" s="1167">
        <v>1333.3333333333335</v>
      </c>
      <c r="B11" s="1172">
        <v>400</v>
      </c>
      <c r="C11" s="1224">
        <v>28.507410687035957</v>
      </c>
      <c r="D11" s="421">
        <v>724.0882276397227</v>
      </c>
      <c r="E11" s="1197">
        <v>14.001579728149164</v>
      </c>
      <c r="F11" s="1205">
        <v>0.9844741652896388</v>
      </c>
      <c r="G11" s="1206">
        <f t="shared" si="7"/>
        <v>96537.15745473013</v>
      </c>
      <c r="H11" s="1206">
        <f t="shared" si="8"/>
        <v>96.53715745473013</v>
      </c>
      <c r="I11" s="1201">
        <v>965.3715745473013</v>
      </c>
      <c r="K11" s="1224">
        <f t="shared" si="0"/>
        <v>5.9708771683996815</v>
      </c>
      <c r="L11" s="1182">
        <f t="shared" si="1"/>
        <v>151.66027927913993</v>
      </c>
      <c r="M11" s="1199">
        <f t="shared" si="2"/>
        <v>2.9326308740608424</v>
      </c>
      <c r="N11" s="1205">
        <f t="shared" si="3"/>
        <v>0.20619811391991485</v>
      </c>
      <c r="O11" s="1206">
        <f t="shared" si="4"/>
        <v>20219.707628893226</v>
      </c>
      <c r="P11" s="1206">
        <f t="shared" si="5"/>
        <v>20.219707628893225</v>
      </c>
      <c r="Q11" s="1201">
        <f t="shared" si="6"/>
        <v>202.19707628893227</v>
      </c>
      <c r="S11" s="437"/>
      <c r="T11" s="438"/>
      <c r="U11" s="438"/>
    </row>
    <row r="12" spans="1:17" ht="15" customHeight="1">
      <c r="A12" s="1168">
        <v>1666.6666666666667</v>
      </c>
      <c r="B12" s="1173">
        <v>500</v>
      </c>
      <c r="C12" s="1225">
        <v>28.16254215601567</v>
      </c>
      <c r="D12" s="427">
        <v>715.3285669979109</v>
      </c>
      <c r="E12" s="1198">
        <v>13.83219555342276</v>
      </c>
      <c r="F12" s="1207">
        <v>0.9725644845775545</v>
      </c>
      <c r="G12" s="1208">
        <f t="shared" si="7"/>
        <v>95369.29875139911</v>
      </c>
      <c r="H12" s="1208">
        <f t="shared" si="8"/>
        <v>95.36929875139911</v>
      </c>
      <c r="I12" s="1202">
        <v>953.692987513991</v>
      </c>
      <c r="K12" s="1225">
        <f t="shared" si="0"/>
        <v>5.898644454577482</v>
      </c>
      <c r="L12" s="1184">
        <f t="shared" si="1"/>
        <v>149.82556835771243</v>
      </c>
      <c r="M12" s="1198">
        <f t="shared" si="2"/>
        <v>2.897153358664397</v>
      </c>
      <c r="N12" s="1207">
        <f t="shared" si="3"/>
        <v>0.2037036312947688</v>
      </c>
      <c r="O12" s="1208">
        <f t="shared" si="4"/>
        <v>19975.099623480543</v>
      </c>
      <c r="P12" s="1208">
        <f t="shared" si="5"/>
        <v>19.975099623480546</v>
      </c>
      <c r="Q12" s="1202">
        <f t="shared" si="6"/>
        <v>199.75099623480543</v>
      </c>
    </row>
    <row r="13" spans="1:17" ht="15" customHeight="1">
      <c r="A13" s="1165">
        <v>2000</v>
      </c>
      <c r="B13" s="1174">
        <v>600</v>
      </c>
      <c r="C13" s="1223">
        <v>27.821059689294888</v>
      </c>
      <c r="D13" s="421">
        <v>706.6549123888539</v>
      </c>
      <c r="E13" s="1197">
        <v>13.664474463771835</v>
      </c>
      <c r="F13" s="1205">
        <v>0.9607717381202667</v>
      </c>
      <c r="G13" s="1206">
        <f t="shared" si="7"/>
        <v>94212.90657605343</v>
      </c>
      <c r="H13" s="1206">
        <f t="shared" si="8"/>
        <v>94.21290657605343</v>
      </c>
      <c r="I13" s="1200">
        <v>942.1290657605343</v>
      </c>
      <c r="K13" s="1226">
        <f t="shared" si="0"/>
        <v>5.827120951922814</v>
      </c>
      <c r="L13" s="1182">
        <f t="shared" si="1"/>
        <v>148.00887139984545</v>
      </c>
      <c r="M13" s="1199">
        <f t="shared" si="2"/>
        <v>2.8620241764370107</v>
      </c>
      <c r="N13" s="1205">
        <f t="shared" si="3"/>
        <v>0.20123364054928986</v>
      </c>
      <c r="O13" s="1206">
        <f t="shared" si="4"/>
        <v>19732.89328235439</v>
      </c>
      <c r="P13" s="1206">
        <f t="shared" si="5"/>
        <v>19.73289328235439</v>
      </c>
      <c r="Q13" s="1201">
        <f t="shared" si="6"/>
        <v>197.3289328235439</v>
      </c>
    </row>
    <row r="14" spans="1:17" ht="15" customHeight="1">
      <c r="A14" s="1166">
        <v>2333.3333333333335</v>
      </c>
      <c r="B14" s="1172">
        <v>700</v>
      </c>
      <c r="C14" s="1224">
        <v>27.482937793927107</v>
      </c>
      <c r="D14" s="421">
        <v>698.0666162917138</v>
      </c>
      <c r="E14" s="1197">
        <v>13.49840393818819</v>
      </c>
      <c r="F14" s="1205">
        <v>0.9490950455450367</v>
      </c>
      <c r="G14" s="1206">
        <f t="shared" si="7"/>
        <v>93067.89459968144</v>
      </c>
      <c r="H14" s="1206">
        <f t="shared" si="8"/>
        <v>93.06789459968144</v>
      </c>
      <c r="I14" s="1201">
        <v>930.6789459968144</v>
      </c>
      <c r="K14" s="1224">
        <f t="shared" si="0"/>
        <v>5.756301320938032</v>
      </c>
      <c r="L14" s="1182">
        <f t="shared" si="1"/>
        <v>146.21005278229944</v>
      </c>
      <c r="M14" s="1199">
        <f t="shared" si="2"/>
        <v>2.827240704853516</v>
      </c>
      <c r="N14" s="1205">
        <f t="shared" si="3"/>
        <v>0.19878795728940793</v>
      </c>
      <c r="O14" s="1206">
        <f t="shared" si="4"/>
        <v>19493.07052390328</v>
      </c>
      <c r="P14" s="1206">
        <f t="shared" si="5"/>
        <v>19.493070523903278</v>
      </c>
      <c r="Q14" s="1201">
        <f t="shared" si="6"/>
        <v>194.93070523903276</v>
      </c>
    </row>
    <row r="15" spans="1:17" ht="15" customHeight="1">
      <c r="A15" s="1166">
        <v>2666.666666666667</v>
      </c>
      <c r="B15" s="1172">
        <v>800</v>
      </c>
      <c r="C15" s="1224">
        <v>27.148151110256368</v>
      </c>
      <c r="D15" s="421">
        <v>689.5630345712326</v>
      </c>
      <c r="E15" s="1197">
        <v>13.333971521130046</v>
      </c>
      <c r="F15" s="1205">
        <v>0.9375335310821773</v>
      </c>
      <c r="G15" s="1206">
        <f t="shared" si="7"/>
        <v>91934.17694464493</v>
      </c>
      <c r="H15" s="1206">
        <f t="shared" si="8"/>
        <v>91.93417694464493</v>
      </c>
      <c r="I15" s="1201">
        <v>919.3417694464493</v>
      </c>
      <c r="K15" s="1224">
        <f t="shared" si="0"/>
        <v>5.686180250043196</v>
      </c>
      <c r="L15" s="1182">
        <f t="shared" si="1"/>
        <v>144.42897759094467</v>
      </c>
      <c r="M15" s="1199">
        <f t="shared" si="2"/>
        <v>2.7928003351006883</v>
      </c>
      <c r="N15" s="1205">
        <f t="shared" si="3"/>
        <v>0.19636639808516204</v>
      </c>
      <c r="O15" s="1206">
        <f t="shared" si="4"/>
        <v>19255.61336105588</v>
      </c>
      <c r="P15" s="1206">
        <f t="shared" si="5"/>
        <v>19.255613361055882</v>
      </c>
      <c r="Q15" s="1201">
        <f t="shared" si="6"/>
        <v>192.55613361055882</v>
      </c>
    </row>
    <row r="16" spans="1:19" ht="15" customHeight="1">
      <c r="A16" s="1167">
        <v>3000</v>
      </c>
      <c r="B16" s="1172">
        <v>900</v>
      </c>
      <c r="C16" s="1224">
        <v>26.816674411528286</v>
      </c>
      <c r="D16" s="421">
        <v>681.1435264678526</v>
      </c>
      <c r="E16" s="1197">
        <v>13.171164822331</v>
      </c>
      <c r="F16" s="1205">
        <v>0.9260863235516212</v>
      </c>
      <c r="G16" s="1206">
        <f t="shared" si="7"/>
        <v>90811.66818336205</v>
      </c>
      <c r="H16" s="1206">
        <f t="shared" si="8"/>
        <v>90.81166818336206</v>
      </c>
      <c r="I16" s="1201">
        <v>908.1166818336205</v>
      </c>
      <c r="K16" s="1224">
        <f t="shared" si="0"/>
        <v>5.616752455494599</v>
      </c>
      <c r="L16" s="1182">
        <f t="shared" si="1"/>
        <v>142.6655116186917</v>
      </c>
      <c r="M16" s="1199">
        <f t="shared" si="2"/>
        <v>2.758700472037228</v>
      </c>
      <c r="N16" s="1205">
        <f t="shared" si="3"/>
        <v>0.19396878046788707</v>
      </c>
      <c r="O16" s="1206">
        <f t="shared" si="4"/>
        <v>19020.50390100518</v>
      </c>
      <c r="P16" s="1206">
        <f t="shared" si="5"/>
        <v>19.02050390100518</v>
      </c>
      <c r="Q16" s="1201">
        <f t="shared" si="6"/>
        <v>190.20503901005182</v>
      </c>
      <c r="S16" s="65"/>
    </row>
    <row r="17" spans="1:17" ht="15" customHeight="1">
      <c r="A17" s="1168">
        <v>3333.3333333333335</v>
      </c>
      <c r="B17" s="1173">
        <v>1000</v>
      </c>
      <c r="C17" s="1225">
        <v>26.48848260350118</v>
      </c>
      <c r="D17" s="427">
        <v>672.8074545878382</v>
      </c>
      <c r="E17" s="1198">
        <v>13.009971516609037</v>
      </c>
      <c r="F17" s="1207">
        <v>0.914752556349491</v>
      </c>
      <c r="G17" s="1208">
        <f t="shared" si="7"/>
        <v>89700.2833369904</v>
      </c>
      <c r="H17" s="1208">
        <f t="shared" si="8"/>
        <v>89.7002833369904</v>
      </c>
      <c r="I17" s="1202">
        <v>897.0028333699039</v>
      </c>
      <c r="K17" s="1225">
        <f t="shared" si="0"/>
        <v>5.548012681303322</v>
      </c>
      <c r="L17" s="1184">
        <f t="shared" si="1"/>
        <v>140.9195213634227</v>
      </c>
      <c r="M17" s="1198">
        <f t="shared" si="2"/>
        <v>2.724938534153763</v>
      </c>
      <c r="N17" s="1207">
        <f t="shared" si="3"/>
        <v>0.1915949229274009</v>
      </c>
      <c r="O17" s="1208">
        <f t="shared" si="4"/>
        <v>18787.724344932638</v>
      </c>
      <c r="P17" s="1208">
        <f t="shared" si="5"/>
        <v>18.787724344932638</v>
      </c>
      <c r="Q17" s="1202">
        <f t="shared" si="6"/>
        <v>187.87724344932636</v>
      </c>
    </row>
    <row r="18" spans="1:17" ht="15" customHeight="1">
      <c r="A18" s="1165">
        <v>3666.666666666667</v>
      </c>
      <c r="B18" s="1174">
        <v>1100</v>
      </c>
      <c r="C18" s="1223">
        <v>26.163550724057938</v>
      </c>
      <c r="D18" s="421">
        <v>664.5541848934181</v>
      </c>
      <c r="E18" s="1197">
        <v>12.850379343675883</v>
      </c>
      <c r="F18" s="1205">
        <v>0.903531367434696</v>
      </c>
      <c r="G18" s="1206">
        <f t="shared" si="7"/>
        <v>88599.93787411261</v>
      </c>
      <c r="H18" s="1206">
        <f t="shared" si="8"/>
        <v>88.59993787411261</v>
      </c>
      <c r="I18" s="1200">
        <v>885.9993787411261</v>
      </c>
      <c r="K18" s="1226">
        <f t="shared" si="0"/>
        <v>5.479955699153935</v>
      </c>
      <c r="L18" s="1182">
        <f t="shared" si="1"/>
        <v>139.1908740259264</v>
      </c>
      <c r="M18" s="1199">
        <f t="shared" si="2"/>
        <v>2.6915119535329137</v>
      </c>
      <c r="N18" s="1205">
        <f t="shared" si="3"/>
        <v>0.18924464490919707</v>
      </c>
      <c r="O18" s="1206">
        <f t="shared" si="4"/>
        <v>18557.256987732886</v>
      </c>
      <c r="P18" s="1206">
        <f t="shared" si="5"/>
        <v>18.557256987732888</v>
      </c>
      <c r="Q18" s="1201">
        <f t="shared" si="6"/>
        <v>185.57256987732885</v>
      </c>
    </row>
    <row r="19" spans="1:17" ht="15" customHeight="1">
      <c r="A19" s="1166">
        <v>4000</v>
      </c>
      <c r="B19" s="1172">
        <v>1200</v>
      </c>
      <c r="C19" s="1224">
        <v>25.84185394281768</v>
      </c>
      <c r="D19" s="421">
        <v>656.3830866929212</v>
      </c>
      <c r="E19" s="1197">
        <v>12.692376107946277</v>
      </c>
      <c r="F19" s="1205">
        <v>0.8924218993155205</v>
      </c>
      <c r="G19" s="1206">
        <f t="shared" si="7"/>
        <v>87510.54770942137</v>
      </c>
      <c r="H19" s="1206">
        <f t="shared" si="8"/>
        <v>87.51054770942137</v>
      </c>
      <c r="I19" s="1201">
        <v>875.1054770942137</v>
      </c>
      <c r="K19" s="1224">
        <f t="shared" si="0"/>
        <v>5.412576308323163</v>
      </c>
      <c r="L19" s="1182">
        <f t="shared" si="1"/>
        <v>137.47943750783236</v>
      </c>
      <c r="M19" s="1199">
        <f t="shared" si="2"/>
        <v>2.6584181758093477</v>
      </c>
      <c r="N19" s="1205">
        <f t="shared" si="3"/>
        <v>0.18691776681163577</v>
      </c>
      <c r="O19" s="1206">
        <f t="shared" si="4"/>
        <v>18329.084217738306</v>
      </c>
      <c r="P19" s="1206">
        <f t="shared" si="5"/>
        <v>18.329084217738306</v>
      </c>
      <c r="Q19" s="1201">
        <f t="shared" si="6"/>
        <v>183.29084217738307</v>
      </c>
    </row>
    <row r="20" spans="1:17" ht="15" customHeight="1">
      <c r="A20" s="1166">
        <v>4333.333333333334</v>
      </c>
      <c r="B20" s="1172">
        <v>1300</v>
      </c>
      <c r="C20" s="1224">
        <v>25.523367560747825</v>
      </c>
      <c r="D20" s="421">
        <v>648.2935326309236</v>
      </c>
      <c r="E20" s="1197">
        <v>12.535949678347437</v>
      </c>
      <c r="F20" s="1205">
        <v>0.8814232990362282</v>
      </c>
      <c r="G20" s="1206">
        <f t="shared" si="7"/>
        <v>86432.0292024057</v>
      </c>
      <c r="H20" s="1206">
        <f t="shared" si="8"/>
        <v>86.4320292024057</v>
      </c>
      <c r="I20" s="1201">
        <v>864.320292024057</v>
      </c>
      <c r="K20" s="1224">
        <f t="shared" si="0"/>
        <v>5.345869335598632</v>
      </c>
      <c r="L20" s="1182">
        <f t="shared" si="1"/>
        <v>135.78508040954694</v>
      </c>
      <c r="M20" s="1199">
        <f t="shared" si="2"/>
        <v>2.6256546601298707</v>
      </c>
      <c r="N20" s="1205">
        <f t="shared" si="3"/>
        <v>0.184614109983138</v>
      </c>
      <c r="O20" s="1206">
        <f t="shared" si="4"/>
        <v>18103.18851644387</v>
      </c>
      <c r="P20" s="1206">
        <f t="shared" si="5"/>
        <v>18.103188516443875</v>
      </c>
      <c r="Q20" s="1201">
        <f t="shared" si="6"/>
        <v>181.03188516443873</v>
      </c>
    </row>
    <row r="21" spans="1:17" ht="15" customHeight="1">
      <c r="A21" s="1167">
        <v>4666.666666666667</v>
      </c>
      <c r="B21" s="1172">
        <v>1400</v>
      </c>
      <c r="C21" s="1224">
        <v>25.2080670097764</v>
      </c>
      <c r="D21" s="421">
        <v>640.2848986784</v>
      </c>
      <c r="E21" s="1197">
        <v>12.381087988128641</v>
      </c>
      <c r="F21" s="1205">
        <v>0.8705347181636722</v>
      </c>
      <c r="G21" s="1206">
        <f t="shared" si="7"/>
        <v>85364.299156038</v>
      </c>
      <c r="H21" s="1206">
        <f t="shared" si="8"/>
        <v>85.364299156038</v>
      </c>
      <c r="I21" s="1201">
        <v>853.6429915603801</v>
      </c>
      <c r="K21" s="1224">
        <f t="shared" si="0"/>
        <v>5.279829635197667</v>
      </c>
      <c r="L21" s="1182">
        <f t="shared" si="1"/>
        <v>134.10767202819088</v>
      </c>
      <c r="M21" s="1199">
        <f t="shared" si="2"/>
        <v>2.593218879113544</v>
      </c>
      <c r="N21" s="1205">
        <f t="shared" si="3"/>
        <v>0.18233349671938115</v>
      </c>
      <c r="O21" s="1206">
        <f t="shared" si="4"/>
        <v>17879.55245823216</v>
      </c>
      <c r="P21" s="1206">
        <f t="shared" si="5"/>
        <v>17.87955245823216</v>
      </c>
      <c r="Q21" s="1201">
        <f t="shared" si="6"/>
        <v>178.7955245823216</v>
      </c>
    </row>
    <row r="22" spans="1:17" ht="15" customHeight="1">
      <c r="A22" s="1168">
        <v>5000</v>
      </c>
      <c r="B22" s="1173">
        <v>1500</v>
      </c>
      <c r="C22" s="1225">
        <v>24.895927852404544</v>
      </c>
      <c r="D22" s="427">
        <v>632.356564122883</v>
      </c>
      <c r="E22" s="1198">
        <v>12.227779034670904</v>
      </c>
      <c r="F22" s="1207">
        <v>0.8597553127739146</v>
      </c>
      <c r="G22" s="1208">
        <f t="shared" si="7"/>
        <v>84307.274815462</v>
      </c>
      <c r="H22" s="1208">
        <f t="shared" si="8"/>
        <v>84.30727481546201</v>
      </c>
      <c r="I22" s="1202">
        <v>843.0727481546201</v>
      </c>
      <c r="K22" s="1225">
        <f t="shared" si="0"/>
        <v>5.214452088686132</v>
      </c>
      <c r="L22" s="1184">
        <f t="shared" si="1"/>
        <v>132.44708235553784</v>
      </c>
      <c r="M22" s="1198">
        <f t="shared" si="2"/>
        <v>2.561108318811821</v>
      </c>
      <c r="N22" s="1207">
        <f t="shared" si="3"/>
        <v>0.1800757502604964</v>
      </c>
      <c r="O22" s="1208">
        <f t="shared" si="4"/>
        <v>17658.158710098516</v>
      </c>
      <c r="P22" s="1208">
        <f t="shared" si="5"/>
        <v>17.65815871009852</v>
      </c>
      <c r="Q22" s="1202">
        <f t="shared" si="6"/>
        <v>176.58158710098516</v>
      </c>
    </row>
    <row r="23" spans="1:17" ht="15" customHeight="1">
      <c r="A23" s="1165">
        <v>5333.333333333334</v>
      </c>
      <c r="B23" s="1174">
        <v>1600</v>
      </c>
      <c r="C23" s="1223">
        <v>24.586925781319245</v>
      </c>
      <c r="D23" s="421">
        <v>624.5079115586251</v>
      </c>
      <c r="E23" s="1197">
        <v>12.076010879296781</v>
      </c>
      <c r="F23" s="1205">
        <v>0.8490842434388518</v>
      </c>
      <c r="G23" s="1206">
        <f t="shared" si="7"/>
        <v>83260.87386668117</v>
      </c>
      <c r="H23" s="1206">
        <f t="shared" si="8"/>
        <v>83.26087386668117</v>
      </c>
      <c r="I23" s="1200">
        <v>832.6087386668117</v>
      </c>
      <c r="K23" s="1226">
        <f t="shared" si="0"/>
        <v>5.149731604897315</v>
      </c>
      <c r="L23" s="1182">
        <f t="shared" si="1"/>
        <v>130.80318207595403</v>
      </c>
      <c r="M23" s="1199">
        <f t="shared" si="2"/>
        <v>2.5293204786687107</v>
      </c>
      <c r="N23" s="1205">
        <f t="shared" si="3"/>
        <v>0.1778406947882675</v>
      </c>
      <c r="O23" s="1206">
        <f t="shared" si="4"/>
        <v>17438.990031376372</v>
      </c>
      <c r="P23" s="1206">
        <f t="shared" si="5"/>
        <v>17.43899003137637</v>
      </c>
      <c r="Q23" s="1201">
        <f t="shared" si="6"/>
        <v>174.38990031376372</v>
      </c>
    </row>
    <row r="24" spans="1:17" ht="15" customHeight="1">
      <c r="A24" s="1166">
        <v>5666.666666666667</v>
      </c>
      <c r="B24" s="1172">
        <v>1700</v>
      </c>
      <c r="C24" s="1224">
        <v>24.281036619006265</v>
      </c>
      <c r="D24" s="421">
        <v>616.7383268767679</v>
      </c>
      <c r="E24" s="1197">
        <v>11.92577164708024</v>
      </c>
      <c r="F24" s="1205">
        <v>0.8385206752128479</v>
      </c>
      <c r="G24" s="1206">
        <f t="shared" si="7"/>
        <v>82225.01443524804</v>
      </c>
      <c r="H24" s="1206">
        <f t="shared" si="8"/>
        <v>82.22501443524804</v>
      </c>
      <c r="I24" s="1201">
        <v>822.2501443524804</v>
      </c>
      <c r="K24" s="1224">
        <f t="shared" si="0"/>
        <v>5.085663119850862</v>
      </c>
      <c r="L24" s="1182">
        <f t="shared" si="1"/>
        <v>129.17584256433904</v>
      </c>
      <c r="M24" s="1199">
        <f t="shared" si="2"/>
        <v>2.4978528714809562</v>
      </c>
      <c r="N24" s="1205">
        <f t="shared" si="3"/>
        <v>0.175628155423331</v>
      </c>
      <c r="O24" s="1206">
        <f t="shared" si="4"/>
        <v>17222.029273462704</v>
      </c>
      <c r="P24" s="1206">
        <f t="shared" si="5"/>
        <v>17.222029273462702</v>
      </c>
      <c r="Q24" s="1201">
        <f t="shared" si="6"/>
        <v>172.22029273462704</v>
      </c>
    </row>
    <row r="25" spans="1:17" ht="15" customHeight="1">
      <c r="A25" s="1166">
        <v>6000</v>
      </c>
      <c r="B25" s="1172">
        <v>1800</v>
      </c>
      <c r="C25" s="1224">
        <v>23.978236317363535</v>
      </c>
      <c r="D25" s="421">
        <v>609.0471992555223</v>
      </c>
      <c r="E25" s="1197">
        <v>11.777049526656782</v>
      </c>
      <c r="F25" s="1205">
        <v>0.8280637776193832</v>
      </c>
      <c r="G25" s="1206">
        <f t="shared" si="7"/>
        <v>81199.615084955</v>
      </c>
      <c r="H25" s="1206">
        <f t="shared" si="8"/>
        <v>81.199615084955</v>
      </c>
      <c r="I25" s="1201">
        <v>811.99615084955</v>
      </c>
      <c r="K25" s="1224">
        <f t="shared" si="0"/>
        <v>5.022241596671792</v>
      </c>
      <c r="L25" s="1182">
        <f t="shared" si="1"/>
        <v>127.56493588406914</v>
      </c>
      <c r="M25" s="1199">
        <f t="shared" si="2"/>
        <v>2.466703023358263</v>
      </c>
      <c r="N25" s="1205">
        <f t="shared" si="3"/>
        <v>0.1734379582223798</v>
      </c>
      <c r="O25" s="1206">
        <f t="shared" si="4"/>
        <v>17007.259379543826</v>
      </c>
      <c r="P25" s="1206">
        <f t="shared" si="5"/>
        <v>17.007259379543825</v>
      </c>
      <c r="Q25" s="1201">
        <f t="shared" si="6"/>
        <v>170.07259379543825</v>
      </c>
    </row>
    <row r="26" spans="1:17" ht="15" customHeight="1">
      <c r="A26" s="1167">
        <v>6333.333333333334</v>
      </c>
      <c r="B26" s="1172">
        <v>1900</v>
      </c>
      <c r="C26" s="1224">
        <v>23.678500957314437</v>
      </c>
      <c r="D26" s="421">
        <v>601.4339211503451</v>
      </c>
      <c r="E26" s="1197">
        <v>11.629832770033513</v>
      </c>
      <c r="F26" s="1205">
        <v>0.8177127246376995</v>
      </c>
      <c r="G26" s="1206">
        <f t="shared" si="7"/>
        <v>80184.59481652462</v>
      </c>
      <c r="H26" s="1206">
        <f t="shared" si="8"/>
        <v>80.18459481652462</v>
      </c>
      <c r="I26" s="1201">
        <v>801.8459481652462</v>
      </c>
      <c r="K26" s="1224">
        <f t="shared" si="0"/>
        <v>4.9594620255095085</v>
      </c>
      <c r="L26" s="1182">
        <f t="shared" si="1"/>
        <v>125.97033478493978</v>
      </c>
      <c r="M26" s="1199">
        <f t="shared" si="2"/>
        <v>2.435868473683519</v>
      </c>
      <c r="N26" s="1205">
        <f t="shared" si="3"/>
        <v>0.17126993017536615</v>
      </c>
      <c r="O26" s="1206">
        <f t="shared" si="4"/>
        <v>16794.66338432108</v>
      </c>
      <c r="P26" s="1206">
        <f t="shared" si="5"/>
        <v>16.794663384321083</v>
      </c>
      <c r="Q26" s="1201">
        <f t="shared" si="6"/>
        <v>167.94663384321083</v>
      </c>
    </row>
    <row r="27" spans="1:17" ht="15" customHeight="1">
      <c r="A27" s="1168">
        <v>6666.666666666667</v>
      </c>
      <c r="B27" s="1173">
        <v>2000</v>
      </c>
      <c r="C27" s="1225">
        <v>23.381806748421518</v>
      </c>
      <c r="D27" s="427">
        <v>593.8978882841283</v>
      </c>
      <c r="E27" s="1198">
        <v>11.484109692399405</v>
      </c>
      <c r="F27" s="1207">
        <v>0.8074666946894602</v>
      </c>
      <c r="G27" s="1208">
        <f t="shared" si="7"/>
        <v>79179.87306630169</v>
      </c>
      <c r="H27" s="1208">
        <f t="shared" si="8"/>
        <v>79.1798730663017</v>
      </c>
      <c r="I27" s="1202">
        <v>791.798730663017</v>
      </c>
      <c r="K27" s="1225">
        <f t="shared" si="0"/>
        <v>4.897319423456887</v>
      </c>
      <c r="L27" s="1184">
        <f t="shared" si="1"/>
        <v>124.39191270111067</v>
      </c>
      <c r="M27" s="1198">
        <f t="shared" si="2"/>
        <v>2.4053467750730553</v>
      </c>
      <c r="N27" s="1207">
        <f t="shared" si="3"/>
        <v>0.16912389920270743</v>
      </c>
      <c r="O27" s="1208">
        <f t="shared" si="4"/>
        <v>16584.224413736887</v>
      </c>
      <c r="P27" s="1208">
        <f t="shared" si="5"/>
        <v>16.58422441373689</v>
      </c>
      <c r="Q27" s="1202">
        <f t="shared" si="6"/>
        <v>165.8422441373689</v>
      </c>
    </row>
    <row r="28" spans="1:17" ht="15" customHeight="1">
      <c r="A28" s="1165">
        <v>7000</v>
      </c>
      <c r="B28" s="1174">
        <v>2100</v>
      </c>
      <c r="C28" s="1223">
        <v>23.088130028500455</v>
      </c>
      <c r="D28" s="421">
        <v>586.4384996373932</v>
      </c>
      <c r="E28" s="1197">
        <v>11.339868671935697</v>
      </c>
      <c r="F28" s="1205">
        <v>0.797324870625419</v>
      </c>
      <c r="G28" s="1206">
        <f t="shared" si="7"/>
        <v>78185.36970494587</v>
      </c>
      <c r="H28" s="1206">
        <f t="shared" si="8"/>
        <v>78.18536970494587</v>
      </c>
      <c r="I28" s="1200">
        <v>781.8536970494587</v>
      </c>
      <c r="K28" s="1226">
        <f t="shared" si="0"/>
        <v>4.83580883446942</v>
      </c>
      <c r="L28" s="1182">
        <f t="shared" si="1"/>
        <v>122.82954374905201</v>
      </c>
      <c r="M28" s="1199">
        <f t="shared" si="2"/>
        <v>2.375135493336932</v>
      </c>
      <c r="N28" s="1205">
        <f t="shared" si="3"/>
        <v>0.16699969415249402</v>
      </c>
      <c r="O28" s="1206">
        <f t="shared" si="4"/>
        <v>16375.925684700913</v>
      </c>
      <c r="P28" s="1206">
        <f t="shared" si="5"/>
        <v>16.375925684700913</v>
      </c>
      <c r="Q28" s="1201">
        <f t="shared" si="6"/>
        <v>163.7592568470091</v>
      </c>
    </row>
    <row r="29" spans="1:17" ht="15" customHeight="1">
      <c r="A29" s="1166">
        <v>7333.333333333334</v>
      </c>
      <c r="B29" s="1172">
        <v>2200</v>
      </c>
      <c r="C29" s="1224">
        <v>22.797447263234293</v>
      </c>
      <c r="D29" s="421">
        <v>579.0551574384923</v>
      </c>
      <c r="E29" s="1197">
        <v>11.197098149626425</v>
      </c>
      <c r="F29" s="1205">
        <v>0.7872864397120977</v>
      </c>
      <c r="G29" s="1206">
        <f t="shared" si="7"/>
        <v>77201.00503612531</v>
      </c>
      <c r="H29" s="1206">
        <f t="shared" si="8"/>
        <v>77.20100503612531</v>
      </c>
      <c r="I29" s="1201">
        <v>772.0100503612531</v>
      </c>
      <c r="K29" s="1224">
        <f t="shared" si="0"/>
        <v>4.7749253292844225</v>
      </c>
      <c r="L29" s="1182">
        <f t="shared" si="1"/>
        <v>121.28310272549221</v>
      </c>
      <c r="M29" s="1199">
        <f t="shared" si="2"/>
        <v>2.345232207439255</v>
      </c>
      <c r="N29" s="1205">
        <f t="shared" si="3"/>
        <v>0.16489714479769885</v>
      </c>
      <c r="O29" s="1206">
        <f t="shared" si="4"/>
        <v>16169.750504816446</v>
      </c>
      <c r="P29" s="1206">
        <f t="shared" si="5"/>
        <v>16.169750504816445</v>
      </c>
      <c r="Q29" s="1201">
        <f t="shared" si="6"/>
        <v>161.69750504816446</v>
      </c>
    </row>
    <row r="30" spans="1:17" ht="15" customHeight="1">
      <c r="A30" s="1166">
        <v>7666.666666666667</v>
      </c>
      <c r="B30" s="1172">
        <v>2300</v>
      </c>
      <c r="C30" s="1224">
        <v>22.509735045787583</v>
      </c>
      <c r="D30" s="421">
        <v>571.7472671538085</v>
      </c>
      <c r="E30" s="1197">
        <v>11.055786629068907</v>
      </c>
      <c r="F30" s="1205">
        <v>0.777350593618461</v>
      </c>
      <c r="G30" s="1206">
        <f t="shared" si="7"/>
        <v>76226.69979521006</v>
      </c>
      <c r="H30" s="1206">
        <f t="shared" si="8"/>
        <v>76.22669979521007</v>
      </c>
      <c r="I30" s="1201">
        <v>762.2669979521006</v>
      </c>
      <c r="K30" s="1224">
        <f t="shared" si="0"/>
        <v>4.714664005340209</v>
      </c>
      <c r="L30" s="1182">
        <f t="shared" si="1"/>
        <v>119.75246510536519</v>
      </c>
      <c r="M30" s="1199">
        <f t="shared" si="2"/>
        <v>2.3156345094584823</v>
      </c>
      <c r="N30" s="1205">
        <f t="shared" si="3"/>
        <v>0.16281608183338667</v>
      </c>
      <c r="O30" s="1206">
        <f t="shared" si="4"/>
        <v>15965.682272106747</v>
      </c>
      <c r="P30" s="1206">
        <f t="shared" si="5"/>
        <v>15.965682272106749</v>
      </c>
      <c r="Q30" s="1201">
        <f t="shared" si="6"/>
        <v>159.65682272106747</v>
      </c>
    </row>
    <row r="31" spans="1:17" ht="15" customHeight="1">
      <c r="A31" s="1167">
        <v>8000</v>
      </c>
      <c r="B31" s="1172">
        <v>2400</v>
      </c>
      <c r="C31" s="1224">
        <v>22.224970096421423</v>
      </c>
      <c r="D31" s="421">
        <v>564.5142374779766</v>
      </c>
      <c r="E31" s="1197">
        <v>10.915922676284662</v>
      </c>
      <c r="F31" s="1205">
        <v>0.7675165284026227</v>
      </c>
      <c r="G31" s="1206">
        <f t="shared" si="7"/>
        <v>75262.3751479684</v>
      </c>
      <c r="H31" s="1206">
        <f t="shared" si="8"/>
        <v>75.2623751479684</v>
      </c>
      <c r="I31" s="1201">
        <v>752.623751479684</v>
      </c>
      <c r="K31" s="1224">
        <f t="shared" si="0"/>
        <v>4.655019986695467</v>
      </c>
      <c r="L31" s="1182">
        <f t="shared" si="1"/>
        <v>118.2375070397622</v>
      </c>
      <c r="M31" s="1199">
        <f t="shared" si="2"/>
        <v>2.2863400045478226</v>
      </c>
      <c r="N31" s="1205">
        <f t="shared" si="3"/>
        <v>0.16075633687392935</v>
      </c>
      <c r="O31" s="1206">
        <f t="shared" si="4"/>
        <v>15763.70447474198</v>
      </c>
      <c r="P31" s="1206">
        <f t="shared" si="5"/>
        <v>15.763704474741981</v>
      </c>
      <c r="Q31" s="1201">
        <f t="shared" si="6"/>
        <v>157.6370447474198</v>
      </c>
    </row>
    <row r="32" spans="1:19" ht="15" customHeight="1">
      <c r="A32" s="1168">
        <v>8333.333333333334</v>
      </c>
      <c r="B32" s="1173">
        <v>2500</v>
      </c>
      <c r="C32" s="1225">
        <v>21.943129262107885</v>
      </c>
      <c r="D32" s="427">
        <v>557.3554803240904</v>
      </c>
      <c r="E32" s="1198">
        <v>10.777494919530042</v>
      </c>
      <c r="F32" s="1207">
        <v>0.7577834444985299</v>
      </c>
      <c r="G32" s="1208">
        <f t="shared" si="7"/>
        <v>74307.95268926113</v>
      </c>
      <c r="H32" s="1208">
        <f t="shared" si="8"/>
        <v>74.30795268926113</v>
      </c>
      <c r="I32" s="1202">
        <v>743.0795268926113</v>
      </c>
      <c r="K32" s="1225">
        <f t="shared" si="0"/>
        <v>4.595988423948496</v>
      </c>
      <c r="L32" s="1184">
        <f t="shared" si="1"/>
        <v>116.73810535388074</v>
      </c>
      <c r="M32" s="1198">
        <f t="shared" si="2"/>
        <v>2.257346310895567</v>
      </c>
      <c r="N32" s="1207">
        <f t="shared" si="3"/>
        <v>0.15871774245021708</v>
      </c>
      <c r="O32" s="1208">
        <f t="shared" si="4"/>
        <v>15563.800690765744</v>
      </c>
      <c r="P32" s="1208">
        <f t="shared" si="5"/>
        <v>15.563800690765744</v>
      </c>
      <c r="Q32" s="1202">
        <f t="shared" si="6"/>
        <v>155.63800690765743</v>
      </c>
      <c r="S32" s="6"/>
    </row>
    <row r="33" spans="1:17" ht="15" customHeight="1">
      <c r="A33" s="1165">
        <v>8666.666666666668</v>
      </c>
      <c r="B33" s="1174">
        <v>2600</v>
      </c>
      <c r="C33" s="1223">
        <v>21.664189516145488</v>
      </c>
      <c r="D33" s="421">
        <v>550.2704108139353</v>
      </c>
      <c r="E33" s="1197">
        <v>10.64049204910736</v>
      </c>
      <c r="F33" s="1205">
        <v>0.7481505467026835</v>
      </c>
      <c r="G33" s="1206">
        <f t="shared" si="7"/>
        <v>73363.35444173947</v>
      </c>
      <c r="H33" s="1206">
        <f t="shared" si="8"/>
        <v>73.36335444173947</v>
      </c>
      <c r="I33" s="1200">
        <v>733.6335444173948</v>
      </c>
      <c r="K33" s="1226">
        <f t="shared" si="0"/>
        <v>4.537564494156673</v>
      </c>
      <c r="L33" s="1182">
        <f t="shared" si="1"/>
        <v>115.25413754497875</v>
      </c>
      <c r="M33" s="1199">
        <f t="shared" si="2"/>
        <v>2.2286510596855367</v>
      </c>
      <c r="N33" s="1205">
        <f t="shared" si="3"/>
        <v>0.15670013200687707</v>
      </c>
      <c r="O33" s="1206">
        <f t="shared" si="4"/>
        <v>15365.954587822333</v>
      </c>
      <c r="P33" s="1206">
        <f t="shared" si="5"/>
        <v>15.365954587822333</v>
      </c>
      <c r="Q33" s="1201">
        <f t="shared" si="6"/>
        <v>153.65954587822333</v>
      </c>
    </row>
    <row r="34" spans="1:17" ht="15" customHeight="1">
      <c r="A34" s="1166">
        <v>9000</v>
      </c>
      <c r="B34" s="1172">
        <v>2700</v>
      </c>
      <c r="C34" s="1224">
        <v>21.388127957774287</v>
      </c>
      <c r="D34" s="421">
        <v>543.258447268212</v>
      </c>
      <c r="E34" s="1197">
        <v>10.504902817175845</v>
      </c>
      <c r="F34" s="1205">
        <v>0.7386170441608466</v>
      </c>
      <c r="G34" s="1206">
        <f t="shared" si="7"/>
        <v>72428.50285454154</v>
      </c>
      <c r="H34" s="1206">
        <f t="shared" si="8"/>
        <v>72.42850285454153</v>
      </c>
      <c r="I34" s="1201">
        <v>724.2850285454155</v>
      </c>
      <c r="K34" s="1224">
        <f t="shared" si="0"/>
        <v>4.479743400755824</v>
      </c>
      <c r="L34" s="1182">
        <f t="shared" si="1"/>
        <v>113.78548178032699</v>
      </c>
      <c r="M34" s="1199">
        <f t="shared" si="2"/>
        <v>2.2002518950574808</v>
      </c>
      <c r="N34" s="1205">
        <f t="shared" si="3"/>
        <v>0.1547033398994893</v>
      </c>
      <c r="O34" s="1206">
        <f t="shared" si="4"/>
        <v>15170.149922883726</v>
      </c>
      <c r="P34" s="1206">
        <f t="shared" si="5"/>
        <v>15.170149922883724</v>
      </c>
      <c r="Q34" s="1201">
        <f t="shared" si="6"/>
        <v>151.70149922883726</v>
      </c>
    </row>
    <row r="35" spans="1:17" ht="15" customHeight="1">
      <c r="A35" s="1166">
        <v>9333.333333333334</v>
      </c>
      <c r="B35" s="1172">
        <v>2800</v>
      </c>
      <c r="C35" s="1224">
        <v>21.11492181179173</v>
      </c>
      <c r="D35" s="421">
        <v>536.3190111967783</v>
      </c>
      <c r="E35" s="1197">
        <v>10.370716037562966</v>
      </c>
      <c r="F35" s="1205">
        <v>0.7291821503547778</v>
      </c>
      <c r="G35" s="1206">
        <f t="shared" si="7"/>
        <v>71503.32080199153</v>
      </c>
      <c r="H35" s="1206">
        <f t="shared" si="8"/>
        <v>71.50332080199153</v>
      </c>
      <c r="I35" s="1201">
        <v>715.0332080199154</v>
      </c>
      <c r="K35" s="1224">
        <f t="shared" si="0"/>
        <v>4.422520373479778</v>
      </c>
      <c r="L35" s="1182">
        <f t="shared" si="1"/>
        <v>112.33201689516521</v>
      </c>
      <c r="M35" s="1199">
        <f t="shared" si="2"/>
        <v>2.172146474067563</v>
      </c>
      <c r="N35" s="1205">
        <f t="shared" si="3"/>
        <v>0.15272720139180823</v>
      </c>
      <c r="O35" s="1206">
        <f t="shared" si="4"/>
        <v>14976.370541977127</v>
      </c>
      <c r="P35" s="1206">
        <f t="shared" si="5"/>
        <v>14.976370541977127</v>
      </c>
      <c r="Q35" s="1201">
        <f t="shared" si="6"/>
        <v>149.76370541977127</v>
      </c>
    </row>
    <row r="36" spans="1:17" ht="15" customHeight="1">
      <c r="A36" s="1167">
        <v>9666.666666666668</v>
      </c>
      <c r="B36" s="1172">
        <v>2900</v>
      </c>
      <c r="C36" s="1224">
        <v>20.844548428168217</v>
      </c>
      <c r="D36" s="421">
        <v>529.4515272888858</v>
      </c>
      <c r="E36" s="1197">
        <v>10.237920585575612</v>
      </c>
      <c r="F36" s="1205">
        <v>0.7198450830889549</v>
      </c>
      <c r="G36" s="1206">
        <f t="shared" si="7"/>
        <v>70587.73158229783</v>
      </c>
      <c r="H36" s="1206">
        <f t="shared" si="8"/>
        <v>70.58773158229782</v>
      </c>
      <c r="I36" s="1201">
        <v>705.8773158229783</v>
      </c>
      <c r="K36" s="1224">
        <f t="shared" si="0"/>
        <v>4.365890668279833</v>
      </c>
      <c r="L36" s="1182">
        <f t="shared" si="1"/>
        <v>110.89362239065713</v>
      </c>
      <c r="M36" s="1199">
        <f t="shared" si="2"/>
        <v>2.144332466648812</v>
      </c>
      <c r="N36" s="1205">
        <f t="shared" si="3"/>
        <v>0.1507715526529816</v>
      </c>
      <c r="O36" s="1206">
        <f t="shared" si="4"/>
        <v>14784.60037991228</v>
      </c>
      <c r="P36" s="1206">
        <f t="shared" si="5"/>
        <v>14.784600379912279</v>
      </c>
      <c r="Q36" s="1201">
        <f t="shared" si="6"/>
        <v>147.8460037991228</v>
      </c>
    </row>
    <row r="37" spans="1:17" ht="15" customHeight="1">
      <c r="A37" s="1168">
        <v>10000</v>
      </c>
      <c r="B37" s="1173">
        <v>3000</v>
      </c>
      <c r="C37" s="1225">
        <v>20.576985281663344</v>
      </c>
      <c r="D37" s="427">
        <v>522.655423403431</v>
      </c>
      <c r="E37" s="1198">
        <v>10.106505397811606</v>
      </c>
      <c r="F37" s="1207">
        <v>0.7106050644773227</v>
      </c>
      <c r="G37" s="1208">
        <f t="shared" si="7"/>
        <v>69681.65891625348</v>
      </c>
      <c r="H37" s="1208">
        <f t="shared" si="8"/>
        <v>69.68165891625348</v>
      </c>
      <c r="I37" s="1202">
        <v>696.8165891625348</v>
      </c>
      <c r="K37" s="1225">
        <f t="shared" si="0"/>
        <v>4.309849567244387</v>
      </c>
      <c r="L37" s="1184">
        <f t="shared" si="1"/>
        <v>109.47017843184861</v>
      </c>
      <c r="M37" s="1198">
        <f t="shared" si="2"/>
        <v>2.116807555571641</v>
      </c>
      <c r="N37" s="1207">
        <f t="shared" si="3"/>
        <v>0.14883623075477526</v>
      </c>
      <c r="O37" s="1208">
        <f t="shared" si="4"/>
        <v>14594.823460009291</v>
      </c>
      <c r="P37" s="1208">
        <f t="shared" si="5"/>
        <v>14.594823460009291</v>
      </c>
      <c r="Q37" s="1202">
        <f t="shared" si="6"/>
        <v>145.94823460009292</v>
      </c>
    </row>
    <row r="38" spans="1:17" ht="15" customHeight="1">
      <c r="A38" s="1165">
        <v>10333.333333333334</v>
      </c>
      <c r="B38" s="1174">
        <v>3100</v>
      </c>
      <c r="C38" s="1223">
        <v>20.312209971442172</v>
      </c>
      <c r="D38" s="421">
        <v>515.9301305592095</v>
      </c>
      <c r="E38" s="1197">
        <v>9.97645947197124</v>
      </c>
      <c r="F38" s="1205">
        <v>0.701461320930041</v>
      </c>
      <c r="G38" s="1206">
        <f t="shared" si="7"/>
        <v>68785.0269459367</v>
      </c>
      <c r="H38" s="1206">
        <f t="shared" si="8"/>
        <v>68.78502694593669</v>
      </c>
      <c r="I38" s="1200">
        <v>687.850269459367</v>
      </c>
      <c r="K38" s="1226">
        <f t="shared" si="0"/>
        <v>4.254392378518563</v>
      </c>
      <c r="L38" s="1182">
        <f t="shared" si="1"/>
        <v>108.06156584562643</v>
      </c>
      <c r="M38" s="1199">
        <f t="shared" si="2"/>
        <v>2.089569436404376</v>
      </c>
      <c r="N38" s="1205">
        <f t="shared" si="3"/>
        <v>0.1469210736687971</v>
      </c>
      <c r="O38" s="1206">
        <f t="shared" si="4"/>
        <v>14407.023893826441</v>
      </c>
      <c r="P38" s="1206">
        <f t="shared" si="5"/>
        <v>14.407023893826441</v>
      </c>
      <c r="Q38" s="1201">
        <f t="shared" si="6"/>
        <v>144.07023893826442</v>
      </c>
    </row>
    <row r="39" spans="1:17" ht="15" customHeight="1">
      <c r="A39" s="1166">
        <v>10666.666666666668</v>
      </c>
      <c r="B39" s="1172">
        <v>3200</v>
      </c>
      <c r="C39" s="1224">
        <v>20.050200220691746</v>
      </c>
      <c r="D39" s="421">
        <v>509.2750829251752</v>
      </c>
      <c r="E39" s="1197">
        <v>9.847771866668914</v>
      </c>
      <c r="F39" s="1205">
        <v>0.6924130831402415</v>
      </c>
      <c r="G39" s="1206">
        <f t="shared" si="7"/>
        <v>67897.76023341234</v>
      </c>
      <c r="H39" s="1206">
        <f t="shared" si="8"/>
        <v>67.89776023341234</v>
      </c>
      <c r="I39" s="1201">
        <v>678.9776023341234</v>
      </c>
      <c r="K39" s="1224">
        <f t="shared" si="0"/>
        <v>4.199514436223886</v>
      </c>
      <c r="L39" s="1182">
        <f t="shared" si="1"/>
        <v>106.66766611867794</v>
      </c>
      <c r="M39" s="1199">
        <f t="shared" si="2"/>
        <v>2.062615817473804</v>
      </c>
      <c r="N39" s="1205">
        <f t="shared" si="3"/>
        <v>0.14502592026372357</v>
      </c>
      <c r="O39" s="1206">
        <f t="shared" si="4"/>
        <v>14221.185880888213</v>
      </c>
      <c r="P39" s="1206">
        <f t="shared" si="5"/>
        <v>14.221185880888214</v>
      </c>
      <c r="Q39" s="1201">
        <f t="shared" si="6"/>
        <v>142.21185880888214</v>
      </c>
    </row>
    <row r="40" spans="1:17" ht="15" customHeight="1">
      <c r="A40" s="1166">
        <v>11000</v>
      </c>
      <c r="B40" s="1172">
        <v>3300</v>
      </c>
      <c r="C40" s="1224">
        <v>19.790933876237872</v>
      </c>
      <c r="D40" s="421">
        <v>502.6897178107066</v>
      </c>
      <c r="E40" s="1197">
        <v>9.720431701244927</v>
      </c>
      <c r="F40" s="1205">
        <v>0.6834595860707937</v>
      </c>
      <c r="G40" s="1206">
        <f t="shared" si="7"/>
        <v>67019.78375943402</v>
      </c>
      <c r="H40" s="1206">
        <f t="shared" si="8"/>
        <v>67.01978375943402</v>
      </c>
      <c r="I40" s="1201">
        <v>670.1978375943402</v>
      </c>
      <c r="K40" s="1224">
        <f t="shared" si="0"/>
        <v>4.145211100378022</v>
      </c>
      <c r="L40" s="1182">
        <f t="shared" si="1"/>
        <v>105.2883613954525</v>
      </c>
      <c r="M40" s="1199">
        <f t="shared" si="2"/>
        <v>2.03594441982575</v>
      </c>
      <c r="N40" s="1205">
        <f t="shared" si="3"/>
        <v>0.14315061030252774</v>
      </c>
      <c r="O40" s="1206">
        <f t="shared" si="4"/>
        <v>14037.293708413456</v>
      </c>
      <c r="P40" s="1206">
        <f t="shared" si="5"/>
        <v>14.037293708413456</v>
      </c>
      <c r="Q40" s="1201">
        <f t="shared" si="6"/>
        <v>140.37293708413455</v>
      </c>
    </row>
    <row r="41" spans="1:17" ht="15" customHeight="1">
      <c r="A41" s="1167">
        <v>11333.333333333334</v>
      </c>
      <c r="B41" s="1172">
        <v>3400</v>
      </c>
      <c r="C41" s="1224">
        <v>19.534388908162285</v>
      </c>
      <c r="D41" s="421">
        <v>496.1734756558827</v>
      </c>
      <c r="E41" s="1197">
        <v>9.594428155577436</v>
      </c>
      <c r="F41" s="1205">
        <v>0.6746000689410838</v>
      </c>
      <c r="G41" s="1206">
        <f t="shared" si="7"/>
        <v>66151.0229221478</v>
      </c>
      <c r="H41" s="1206">
        <f t="shared" si="8"/>
        <v>66.15102292214779</v>
      </c>
      <c r="I41" s="1201">
        <v>661.5102292214779</v>
      </c>
      <c r="K41" s="1224">
        <f t="shared" si="0"/>
        <v>4.091477756814591</v>
      </c>
      <c r="L41" s="1182">
        <f t="shared" si="1"/>
        <v>103.92353447612463</v>
      </c>
      <c r="M41" s="1199">
        <f t="shared" si="2"/>
        <v>2.009552977185694</v>
      </c>
      <c r="N41" s="1205">
        <f t="shared" si="3"/>
        <v>0.14129498443971</v>
      </c>
      <c r="O41" s="1206">
        <f t="shared" si="4"/>
        <v>13855.331751043856</v>
      </c>
      <c r="P41" s="1206">
        <f t="shared" si="5"/>
        <v>13.855331751043854</v>
      </c>
      <c r="Q41" s="1201">
        <f t="shared" si="6"/>
        <v>138.55331751043855</v>
      </c>
    </row>
    <row r="42" spans="1:17" ht="15" customHeight="1">
      <c r="A42" s="1168">
        <v>11666.666666666668</v>
      </c>
      <c r="B42" s="1173">
        <v>3500</v>
      </c>
      <c r="C42" s="1225">
        <v>19.280543409419792</v>
      </c>
      <c r="D42" s="427">
        <v>489.7258000217585</v>
      </c>
      <c r="E42" s="1198">
        <v>9.469750469894425</v>
      </c>
      <c r="F42" s="1207">
        <v>0.6658337752137936</v>
      </c>
      <c r="G42" s="1208">
        <f t="shared" si="7"/>
        <v>65291.40353579563</v>
      </c>
      <c r="H42" s="1208">
        <f t="shared" si="8"/>
        <v>65.29140353579564</v>
      </c>
      <c r="I42" s="1202">
        <v>652.9140353579563</v>
      </c>
      <c r="K42" s="1225">
        <f t="shared" si="0"/>
        <v>4.038309817102975</v>
      </c>
      <c r="L42" s="1184">
        <f t="shared" si="1"/>
        <v>102.57306881455732</v>
      </c>
      <c r="M42" s="1198">
        <f t="shared" si="2"/>
        <v>1.9834392359193873</v>
      </c>
      <c r="N42" s="1207">
        <f t="shared" si="3"/>
        <v>0.13945888421852906</v>
      </c>
      <c r="O42" s="1208">
        <f t="shared" si="4"/>
        <v>13675.284470572395</v>
      </c>
      <c r="P42" s="1208">
        <f t="shared" si="5"/>
        <v>13.675284470572397</v>
      </c>
      <c r="Q42" s="1202">
        <f t="shared" si="6"/>
        <v>136.75284470572396</v>
      </c>
    </row>
    <row r="43" spans="1:17" ht="15" customHeight="1">
      <c r="A43" s="1165">
        <v>12000</v>
      </c>
      <c r="B43" s="1174">
        <v>3600</v>
      </c>
      <c r="C43" s="1223">
        <v>19.02937559545578</v>
      </c>
      <c r="D43" s="421">
        <v>483.3461375806498</v>
      </c>
      <c r="E43" s="1197">
        <v>9.346387944585826</v>
      </c>
      <c r="F43" s="1205">
        <v>0.6571599525816914</v>
      </c>
      <c r="G43" s="1206">
        <f t="shared" si="7"/>
        <v>64440.851829420186</v>
      </c>
      <c r="H43" s="1206">
        <f t="shared" si="8"/>
        <v>64.44085182942018</v>
      </c>
      <c r="I43" s="1200">
        <v>644.4085182942018</v>
      </c>
      <c r="K43" s="1226">
        <f t="shared" si="0"/>
        <v>3.985702718468213</v>
      </c>
      <c r="L43" s="1182">
        <f t="shared" si="1"/>
        <v>101.2368485162671</v>
      </c>
      <c r="M43" s="1199">
        <f t="shared" si="2"/>
        <v>1.9576009549935014</v>
      </c>
      <c r="N43" s="1205">
        <f t="shared" si="3"/>
        <v>0.13764215206823524</v>
      </c>
      <c r="O43" s="1206">
        <f t="shared" si="4"/>
        <v>13497.136415672057</v>
      </c>
      <c r="P43" s="1206">
        <f t="shared" si="5"/>
        <v>13.497136415672058</v>
      </c>
      <c r="Q43" s="1201">
        <f t="shared" si="6"/>
        <v>134.97136415672057</v>
      </c>
    </row>
    <row r="44" spans="1:17" ht="15" customHeight="1">
      <c r="A44" s="1166">
        <v>12333.333333333334</v>
      </c>
      <c r="B44" s="1172">
        <v>3700</v>
      </c>
      <c r="C44" s="1224">
        <v>18.780863803824115</v>
      </c>
      <c r="D44" s="421">
        <v>477.0339381064276</v>
      </c>
      <c r="E44" s="1197">
        <v>9.224329940015869</v>
      </c>
      <c r="F44" s="1205">
        <v>0.6485778529544365</v>
      </c>
      <c r="G44" s="1206">
        <f t="shared" si="7"/>
        <v>63599.29444557076</v>
      </c>
      <c r="H44" s="1206">
        <f t="shared" si="8"/>
        <v>63.59929444557076</v>
      </c>
      <c r="I44" s="1201">
        <v>635.9929444557076</v>
      </c>
      <c r="K44" s="1224">
        <f t="shared" si="0"/>
        <v>3.933651923710961</v>
      </c>
      <c r="L44" s="1182">
        <f t="shared" si="1"/>
        <v>99.91475833639126</v>
      </c>
      <c r="M44" s="1199">
        <f t="shared" si="2"/>
        <v>1.9320359059363237</v>
      </c>
      <c r="N44" s="1205">
        <f t="shared" si="3"/>
        <v>0.13584463130130672</v>
      </c>
      <c r="O44" s="1206">
        <f t="shared" si="4"/>
        <v>13320.872221624795</v>
      </c>
      <c r="P44" s="1206">
        <f t="shared" si="5"/>
        <v>13.320872221624796</v>
      </c>
      <c r="Q44" s="1201">
        <f t="shared" si="6"/>
        <v>133.20872221624796</v>
      </c>
    </row>
    <row r="45" spans="1:17" ht="15" customHeight="1">
      <c r="A45" s="1166">
        <v>12666.666666666668</v>
      </c>
      <c r="B45" s="1172">
        <v>3800</v>
      </c>
      <c r="C45" s="1224">
        <v>18.53498649380501</v>
      </c>
      <c r="D45" s="421">
        <v>470.7886544648123</v>
      </c>
      <c r="E45" s="1197">
        <v>9.10356587633537</v>
      </c>
      <c r="F45" s="1205">
        <v>0.6400867324453824</v>
      </c>
      <c r="G45" s="1206">
        <f t="shared" si="7"/>
        <v>62766.65843900935</v>
      </c>
      <c r="H45" s="1206">
        <f t="shared" si="8"/>
        <v>62.76665843900935</v>
      </c>
      <c r="I45" s="1201">
        <v>627.6665843900935</v>
      </c>
      <c r="K45" s="1224">
        <f t="shared" si="0"/>
        <v>3.8821529211274597</v>
      </c>
      <c r="L45" s="1182">
        <f t="shared" si="1"/>
        <v>98.60668367765493</v>
      </c>
      <c r="M45" s="1199">
        <f t="shared" si="2"/>
        <v>1.9067418727984433</v>
      </c>
      <c r="N45" s="1205">
        <f t="shared" si="3"/>
        <v>0.13406616611068534</v>
      </c>
      <c r="O45" s="1206">
        <f t="shared" si="4"/>
        <v>13146.476610050508</v>
      </c>
      <c r="P45" s="1206">
        <f t="shared" si="5"/>
        <v>13.146476610050508</v>
      </c>
      <c r="Q45" s="1201">
        <f t="shared" si="6"/>
        <v>131.46476610050507</v>
      </c>
    </row>
    <row r="46" spans="1:17" ht="15" customHeight="1">
      <c r="A46" s="1167">
        <v>13000</v>
      </c>
      <c r="B46" s="1172">
        <v>3900</v>
      </c>
      <c r="C46" s="1224">
        <v>18.29172224602333</v>
      </c>
      <c r="D46" s="421">
        <v>464.60974260367817</v>
      </c>
      <c r="E46" s="1197">
        <v>8.984085233294282</v>
      </c>
      <c r="F46" s="1205">
        <v>0.6316858513583956</v>
      </c>
      <c r="G46" s="1206">
        <f t="shared" si="7"/>
        <v>61942.87127541801</v>
      </c>
      <c r="H46" s="1206">
        <f t="shared" si="8"/>
        <v>61.94287127541801</v>
      </c>
      <c r="I46" s="1201">
        <v>619.4287127541801</v>
      </c>
      <c r="K46" s="1224">
        <f t="shared" si="0"/>
        <v>3.8312012244295865</v>
      </c>
      <c r="L46" s="1182">
        <f t="shared" si="1"/>
        <v>97.31251058834039</v>
      </c>
      <c r="M46" s="1199">
        <f t="shared" si="2"/>
        <v>1.8817166521134874</v>
      </c>
      <c r="N46" s="1205">
        <f t="shared" si="3"/>
        <v>0.13230660156701596</v>
      </c>
      <c r="O46" s="1206">
        <f t="shared" si="4"/>
        <v>12973.934388636302</v>
      </c>
      <c r="P46" s="1206">
        <f t="shared" si="5"/>
        <v>12.973934388636302</v>
      </c>
      <c r="Q46" s="1201">
        <f t="shared" si="6"/>
        <v>129.73934388636303</v>
      </c>
    </row>
    <row r="47" spans="1:17" ht="15" customHeight="1">
      <c r="A47" s="1168">
        <v>13333.333333333334</v>
      </c>
      <c r="B47" s="1173">
        <v>4000</v>
      </c>
      <c r="C47" s="1225">
        <v>18.051049762067137</v>
      </c>
      <c r="D47" s="427">
        <v>458.496661543365</v>
      </c>
      <c r="E47" s="1198">
        <v>8.86587755005433</v>
      </c>
      <c r="F47" s="1207">
        <v>0.6233744741746831</v>
      </c>
      <c r="G47" s="1208">
        <f t="shared" si="7"/>
        <v>61127.86083010718</v>
      </c>
      <c r="H47" s="1208">
        <f t="shared" si="8"/>
        <v>61.12786083010718</v>
      </c>
      <c r="I47" s="1202">
        <v>611.2786083010718</v>
      </c>
      <c r="K47" s="1225">
        <f t="shared" si="0"/>
        <v>3.780792372664962</v>
      </c>
      <c r="L47" s="1184">
        <f t="shared" si="1"/>
        <v>96.0321257602578</v>
      </c>
      <c r="M47" s="1198">
        <f t="shared" si="2"/>
        <v>1.8569580528588794</v>
      </c>
      <c r="N47" s="1207">
        <f t="shared" si="3"/>
        <v>0.13056578361588736</v>
      </c>
      <c r="O47" s="1208">
        <f t="shared" si="4"/>
        <v>12803.230450865949</v>
      </c>
      <c r="P47" s="1208">
        <f t="shared" si="5"/>
        <v>12.803230450865948</v>
      </c>
      <c r="Q47" s="1202">
        <f t="shared" si="6"/>
        <v>128.03230450865948</v>
      </c>
    </row>
    <row r="48" spans="1:17" ht="15" customHeight="1">
      <c r="A48" s="1165">
        <v>13666.666666666668</v>
      </c>
      <c r="B48" s="1174">
        <v>4100</v>
      </c>
      <c r="C48" s="1223">
        <v>17.812947864106338</v>
      </c>
      <c r="D48" s="421">
        <v>452.44887336699117</v>
      </c>
      <c r="E48" s="1197">
        <v>8.748932425001712</v>
      </c>
      <c r="F48" s="1205">
        <v>0.6151518695396211</v>
      </c>
      <c r="G48" s="1206">
        <f t="shared" si="7"/>
        <v>60321.55538672418</v>
      </c>
      <c r="H48" s="1206">
        <f t="shared" si="8"/>
        <v>60.321555386724185</v>
      </c>
      <c r="I48" s="1200">
        <v>603.2155538672419</v>
      </c>
      <c r="K48" s="1226">
        <f t="shared" si="0"/>
        <v>3.7309219301370726</v>
      </c>
      <c r="L48" s="1182">
        <f t="shared" si="1"/>
        <v>94.7654165267163</v>
      </c>
      <c r="M48" s="1199">
        <f t="shared" si="2"/>
        <v>1.8324638964166085</v>
      </c>
      <c r="N48" s="1205">
        <f t="shared" si="3"/>
        <v>0.12884355907507364</v>
      </c>
      <c r="O48" s="1206">
        <f t="shared" si="4"/>
        <v>12634.34977574938</v>
      </c>
      <c r="P48" s="1206">
        <f t="shared" si="5"/>
        <v>12.63434977574938</v>
      </c>
      <c r="Q48" s="1201">
        <f t="shared" si="6"/>
        <v>126.34349775749381</v>
      </c>
    </row>
    <row r="49" spans="1:17" ht="15" customHeight="1">
      <c r="A49" s="1166">
        <v>14000</v>
      </c>
      <c r="B49" s="1172">
        <v>4200</v>
      </c>
      <c r="C49" s="1224">
        <v>17.577395494511705</v>
      </c>
      <c r="D49" s="421">
        <v>446.4658432107771</v>
      </c>
      <c r="E49" s="1197">
        <v>8.633239515559973</v>
      </c>
      <c r="F49" s="1205">
        <v>0.6070173102496</v>
      </c>
      <c r="G49" s="1206">
        <f t="shared" si="7"/>
        <v>59523.883635963146</v>
      </c>
      <c r="H49" s="1206">
        <f t="shared" si="8"/>
        <v>59.523883635963145</v>
      </c>
      <c r="I49" s="1201">
        <v>595.2388363596315</v>
      </c>
      <c r="K49" s="1224">
        <f t="shared" si="0"/>
        <v>3.6815854863254764</v>
      </c>
      <c r="L49" s="1182">
        <f t="shared" si="1"/>
        <v>93.51227086049727</v>
      </c>
      <c r="M49" s="1199">
        <f t="shared" si="2"/>
        <v>1.8082320165340364</v>
      </c>
      <c r="N49" s="1205">
        <f t="shared" si="3"/>
        <v>0.12713977563177872</v>
      </c>
      <c r="O49" s="1206">
        <f t="shared" si="4"/>
        <v>12467.27742755248</v>
      </c>
      <c r="P49" s="1206">
        <f t="shared" si="5"/>
        <v>12.46727742755248</v>
      </c>
      <c r="Q49" s="1201">
        <f t="shared" si="6"/>
        <v>124.67277427552482</v>
      </c>
    </row>
    <row r="50" spans="1:17" ht="15" customHeight="1">
      <c r="A50" s="1166">
        <v>14333.333333333334</v>
      </c>
      <c r="B50" s="1172">
        <v>4300</v>
      </c>
      <c r="C50" s="1224">
        <v>17.344371715474157</v>
      </c>
      <c r="D50" s="421">
        <v>440.54703925437497</v>
      </c>
      <c r="E50" s="1197">
        <v>8.518788538003019</v>
      </c>
      <c r="F50" s="1205">
        <v>0.598970073238876</v>
      </c>
      <c r="G50" s="1206">
        <f t="shared" si="7"/>
        <v>58734.774674275715</v>
      </c>
      <c r="H50" s="1206">
        <f t="shared" si="8"/>
        <v>58.73477467427571</v>
      </c>
      <c r="I50" s="1201">
        <v>587.3477467427572</v>
      </c>
      <c r="K50" s="1224">
        <f t="shared" si="0"/>
        <v>3.632778655806062</v>
      </c>
      <c r="L50" s="1182">
        <f t="shared" si="1"/>
        <v>92.27257737182883</v>
      </c>
      <c r="M50" s="1199">
        <f t="shared" si="2"/>
        <v>1.7842602592847323</v>
      </c>
      <c r="N50" s="1205">
        <f t="shared" si="3"/>
        <v>0.12545428183988258</v>
      </c>
      <c r="O50" s="1206">
        <f t="shared" si="4"/>
        <v>12301.998555527049</v>
      </c>
      <c r="P50" s="1206">
        <f t="shared" si="5"/>
        <v>12.301998555527048</v>
      </c>
      <c r="Q50" s="1201">
        <f t="shared" si="6"/>
        <v>123.0199855552705</v>
      </c>
    </row>
    <row r="51" spans="1:17" ht="15" customHeight="1">
      <c r="A51" s="1167">
        <v>14666.666666666668</v>
      </c>
      <c r="B51" s="1172">
        <v>4400</v>
      </c>
      <c r="C51" s="1224">
        <v>17.113855708624172</v>
      </c>
      <c r="D51" s="421">
        <v>434.69193271120173</v>
      </c>
      <c r="E51" s="1197">
        <v>8.405569267268184</v>
      </c>
      <c r="F51" s="1205">
        <v>0.5910094395664274</v>
      </c>
      <c r="G51" s="1206">
        <f t="shared" si="7"/>
        <v>57954.158002582255</v>
      </c>
      <c r="H51" s="1206">
        <f t="shared" si="8"/>
        <v>57.954158002582254</v>
      </c>
      <c r="I51" s="1201">
        <v>579.5415800258226</v>
      </c>
      <c r="K51" s="1224">
        <f t="shared" si="0"/>
        <v>3.584497078171333</v>
      </c>
      <c r="L51" s="1182">
        <f t="shared" si="1"/>
        <v>91.04622530636121</v>
      </c>
      <c r="M51" s="1199">
        <f t="shared" si="2"/>
        <v>1.7605464830293212</v>
      </c>
      <c r="N51" s="1205">
        <f t="shared" si="3"/>
        <v>0.12378692711718821</v>
      </c>
      <c r="O51" s="1206">
        <f t="shared" si="4"/>
        <v>12138.498393640853</v>
      </c>
      <c r="P51" s="1206">
        <f t="shared" si="5"/>
        <v>12.138498393640853</v>
      </c>
      <c r="Q51" s="1201">
        <f t="shared" si="6"/>
        <v>121.38498393640853</v>
      </c>
    </row>
    <row r="52" spans="1:17" ht="15" customHeight="1">
      <c r="A52" s="1168">
        <v>15000</v>
      </c>
      <c r="B52" s="1173">
        <v>4500</v>
      </c>
      <c r="C52" s="1225">
        <v>16.885826774651502</v>
      </c>
      <c r="D52" s="427">
        <v>428.89999781877975</v>
      </c>
      <c r="E52" s="1198">
        <v>8.293571536769456</v>
      </c>
      <c r="F52" s="1207">
        <v>0.5831346944028226</v>
      </c>
      <c r="G52" s="1208">
        <f t="shared" si="7"/>
        <v>57181.96352498403</v>
      </c>
      <c r="H52" s="1208">
        <f t="shared" si="8"/>
        <v>57.18196352498403</v>
      </c>
      <c r="I52" s="1202">
        <v>571.8196352498403</v>
      </c>
      <c r="K52" s="1225">
        <f t="shared" si="0"/>
        <v>3.536736417950757</v>
      </c>
      <c r="L52" s="1184">
        <f t="shared" si="1"/>
        <v>89.83310454314342</v>
      </c>
      <c r="M52" s="1198">
        <f t="shared" si="2"/>
        <v>1.7370885583763624</v>
      </c>
      <c r="N52" s="1207">
        <f t="shared" si="3"/>
        <v>0.1221375617426712</v>
      </c>
      <c r="O52" s="1208">
        <f t="shared" si="4"/>
        <v>11976.762260307905</v>
      </c>
      <c r="P52" s="1208">
        <f t="shared" si="5"/>
        <v>11.976762260307904</v>
      </c>
      <c r="Q52" s="1202">
        <f t="shared" si="6"/>
        <v>119.76762260307905</v>
      </c>
    </row>
    <row r="53" spans="1:17" ht="15" customHeight="1">
      <c r="A53" s="1165">
        <v>15333.333333333334</v>
      </c>
      <c r="B53" s="1174">
        <v>4600</v>
      </c>
      <c r="C53" s="1223">
        <v>16.66026433292526</v>
      </c>
      <c r="D53" s="421">
        <v>423.17071182908734</v>
      </c>
      <c r="E53" s="1197">
        <v>8.182785238210878</v>
      </c>
      <c r="F53" s="1205">
        <v>0.5753451270170999</v>
      </c>
      <c r="G53" s="1206">
        <f t="shared" si="7"/>
        <v>56418.12154747668</v>
      </c>
      <c r="H53" s="1206">
        <f t="shared" si="8"/>
        <v>56.41812154747668</v>
      </c>
      <c r="I53" s="1200">
        <v>564.1812154747668</v>
      </c>
      <c r="K53" s="1226">
        <f t="shared" si="0"/>
        <v>3.4894923645311953</v>
      </c>
      <c r="L53" s="1182">
        <f t="shared" si="1"/>
        <v>88.63310559260235</v>
      </c>
      <c r="M53" s="1199">
        <f t="shared" si="2"/>
        <v>1.7138843681432683</v>
      </c>
      <c r="N53" s="1205">
        <f t="shared" si="3"/>
        <v>0.12050603685373158</v>
      </c>
      <c r="O53" s="1206">
        <f t="shared" si="4"/>
        <v>11816.77555811899</v>
      </c>
      <c r="P53" s="1206">
        <f t="shared" si="5"/>
        <v>11.81677555811899</v>
      </c>
      <c r="Q53" s="1201">
        <f t="shared" si="6"/>
        <v>118.1677555811899</v>
      </c>
    </row>
    <row r="54" spans="1:17" ht="15" customHeight="1">
      <c r="A54" s="1166">
        <v>15666.666666666668</v>
      </c>
      <c r="B54" s="1172">
        <v>4700</v>
      </c>
      <c r="C54" s="1224">
        <v>16.437147921114</v>
      </c>
      <c r="D54" s="421">
        <v>417.5035549989085</v>
      </c>
      <c r="E54" s="1197">
        <v>8.073200321399947</v>
      </c>
      <c r="F54" s="1205">
        <v>0.5676400307636477</v>
      </c>
      <c r="G54" s="1206">
        <f t="shared" si="7"/>
        <v>55662.56277666368</v>
      </c>
      <c r="H54" s="1206">
        <f t="shared" si="8"/>
        <v>55.662562776663684</v>
      </c>
      <c r="I54" s="1201">
        <v>556.6256277666369</v>
      </c>
      <c r="K54" s="1224">
        <f t="shared" si="0"/>
        <v>3.442760632077327</v>
      </c>
      <c r="L54" s="1182">
        <f t="shared" si="1"/>
        <v>87.44611959452138</v>
      </c>
      <c r="M54" s="1199">
        <f t="shared" si="2"/>
        <v>1.6909318073172188</v>
      </c>
      <c r="N54" s="1205">
        <f t="shared" si="3"/>
        <v>0.118892204443446</v>
      </c>
      <c r="O54" s="1206">
        <f t="shared" si="4"/>
        <v>11658.523773572208</v>
      </c>
      <c r="P54" s="1206">
        <f t="shared" si="5"/>
        <v>11.658523773572208</v>
      </c>
      <c r="Q54" s="1201">
        <f t="shared" si="6"/>
        <v>116.58523773572209</v>
      </c>
    </row>
    <row r="55" spans="1:17" ht="15" customHeight="1">
      <c r="A55" s="1166">
        <v>16000</v>
      </c>
      <c r="B55" s="1172">
        <v>4800</v>
      </c>
      <c r="C55" s="1224">
        <v>16.216457194806246</v>
      </c>
      <c r="D55" s="421">
        <v>411.8980105801944</v>
      </c>
      <c r="E55" s="1197">
        <v>7.964806794061232</v>
      </c>
      <c r="F55" s="1205">
        <v>0.5600187030690986</v>
      </c>
      <c r="G55" s="1206">
        <f t="shared" si="7"/>
        <v>54915.21831847132</v>
      </c>
      <c r="H55" s="1206">
        <f t="shared" si="8"/>
        <v>54.91521831847132</v>
      </c>
      <c r="I55" s="1201">
        <v>549.1521831847132</v>
      </c>
      <c r="K55" s="1224">
        <f t="shared" si="0"/>
        <v>3.396536959452168</v>
      </c>
      <c r="L55" s="1182">
        <f t="shared" si="1"/>
        <v>86.27203831602172</v>
      </c>
      <c r="M55" s="1199">
        <f t="shared" si="2"/>
        <v>1.668228783016125</v>
      </c>
      <c r="N55" s="1205">
        <f t="shared" si="3"/>
        <v>0.1172959173578227</v>
      </c>
      <c r="O55" s="1206">
        <f t="shared" si="4"/>
        <v>11501.992476803818</v>
      </c>
      <c r="P55" s="1206">
        <f t="shared" si="5"/>
        <v>11.501992476803817</v>
      </c>
      <c r="Q55" s="1201">
        <f t="shared" si="6"/>
        <v>115.01992476803818</v>
      </c>
    </row>
    <row r="56" spans="1:17" ht="15" customHeight="1">
      <c r="A56" s="1167">
        <v>16333.333333333334</v>
      </c>
      <c r="B56" s="1172">
        <v>4900</v>
      </c>
      <c r="C56" s="1224">
        <v>15.998171927131251</v>
      </c>
      <c r="D56" s="421">
        <v>406.35356481043084</v>
      </c>
      <c r="E56" s="1197">
        <v>7.85759472165012</v>
      </c>
      <c r="F56" s="1205">
        <v>0.5524804454192345</v>
      </c>
      <c r="G56" s="1206">
        <f t="shared" si="7"/>
        <v>54176.01967686435</v>
      </c>
      <c r="H56" s="1206">
        <f t="shared" si="8"/>
        <v>54.17601967686435</v>
      </c>
      <c r="I56" s="1201">
        <v>541.7601967686435</v>
      </c>
      <c r="K56" s="1224">
        <f t="shared" si="0"/>
        <v>3.3508171101376405</v>
      </c>
      <c r="L56" s="1182">
        <f t="shared" si="1"/>
        <v>85.11075414954473</v>
      </c>
      <c r="M56" s="1199">
        <f t="shared" si="2"/>
        <v>1.6457732144496175</v>
      </c>
      <c r="N56" s="1205">
        <f t="shared" si="3"/>
        <v>0.11571702929305866</v>
      </c>
      <c r="O56" s="1206">
        <f t="shared" si="4"/>
        <v>11347.167321319239</v>
      </c>
      <c r="P56" s="1206">
        <f t="shared" si="5"/>
        <v>11.347167321319239</v>
      </c>
      <c r="Q56" s="1201">
        <f t="shared" si="6"/>
        <v>113.47167321319237</v>
      </c>
    </row>
    <row r="57" spans="1:17" ht="15" customHeight="1">
      <c r="A57" s="1168">
        <v>16666.666666666668</v>
      </c>
      <c r="B57" s="1173">
        <v>5000</v>
      </c>
      <c r="C57" s="1225">
        <v>15.782272008379856</v>
      </c>
      <c r="D57" s="427">
        <v>400.8697069030078</v>
      </c>
      <c r="E57" s="1198">
        <v>7.751554227166582</v>
      </c>
      <c r="F57" s="1207">
        <v>0.5450245633458921</v>
      </c>
      <c r="G57" s="1208">
        <f t="shared" si="7"/>
        <v>53444.898752562185</v>
      </c>
      <c r="H57" s="1208">
        <f t="shared" si="8"/>
        <v>53.44489875256218</v>
      </c>
      <c r="I57" s="1202">
        <v>534.4489875256219</v>
      </c>
      <c r="K57" s="1225">
        <f t="shared" si="0"/>
        <v>3.305596872155161</v>
      </c>
      <c r="L57" s="1184">
        <f t="shared" si="1"/>
        <v>83.96216011083499</v>
      </c>
      <c r="M57" s="1198">
        <f t="shared" si="2"/>
        <v>1.6235630328800406</v>
      </c>
      <c r="N57" s="1207">
        <f t="shared" si="3"/>
        <v>0.1141553947927971</v>
      </c>
      <c r="O57" s="1208">
        <f t="shared" si="4"/>
        <v>11194.03404372415</v>
      </c>
      <c r="P57" s="1208">
        <f t="shared" si="5"/>
        <v>11.194034043724148</v>
      </c>
      <c r="Q57" s="1202">
        <f t="shared" si="6"/>
        <v>111.9403404372415</v>
      </c>
    </row>
    <row r="58" spans="1:17" ht="15" customHeight="1">
      <c r="A58" s="1165">
        <v>17000</v>
      </c>
      <c r="B58" s="1174">
        <v>5100</v>
      </c>
      <c r="C58" s="1223">
        <v>15.568737445625814</v>
      </c>
      <c r="D58" s="421">
        <v>395.44592903760133</v>
      </c>
      <c r="E58" s="1197">
        <v>7.646675490969196</v>
      </c>
      <c r="F58" s="1205">
        <v>0.5376503664138862</v>
      </c>
      <c r="G58" s="1206">
        <f t="shared" si="7"/>
        <v>52721.78784175652</v>
      </c>
      <c r="H58" s="1206">
        <f t="shared" si="8"/>
        <v>52.72178784175652</v>
      </c>
      <c r="I58" s="1200">
        <v>527.2178784175652</v>
      </c>
      <c r="K58" s="1226">
        <f t="shared" si="0"/>
        <v>3.260872057986327</v>
      </c>
      <c r="L58" s="1182">
        <f t="shared" si="1"/>
        <v>82.8261498369256</v>
      </c>
      <c r="M58" s="1199">
        <f t="shared" si="2"/>
        <v>1.601596181583498</v>
      </c>
      <c r="N58" s="1205">
        <f t="shared" si="3"/>
        <v>0.11261086924538846</v>
      </c>
      <c r="O58" s="1206">
        <f t="shared" si="4"/>
        <v>11042.578463455904</v>
      </c>
      <c r="P58" s="1206">
        <f t="shared" si="5"/>
        <v>11.042578463455904</v>
      </c>
      <c r="Q58" s="1201">
        <f t="shared" si="6"/>
        <v>110.42578463455904</v>
      </c>
    </row>
    <row r="59" spans="1:17" ht="15" customHeight="1">
      <c r="A59" s="1166">
        <v>17333.333333333336</v>
      </c>
      <c r="B59" s="1172">
        <v>5200</v>
      </c>
      <c r="C59" s="1224">
        <v>15.357548362347197</v>
      </c>
      <c r="D59" s="421">
        <v>390.0817263505571</v>
      </c>
      <c r="E59" s="1197">
        <v>7.5429487505891935</v>
      </c>
      <c r="F59" s="1205">
        <v>0.5303571682079351</v>
      </c>
      <c r="G59" s="1206">
        <f t="shared" si="7"/>
        <v>52006.619634829214</v>
      </c>
      <c r="H59" s="1206">
        <f t="shared" si="8"/>
        <v>52.006619634829214</v>
      </c>
      <c r="I59" s="1201">
        <v>520.0661963482921</v>
      </c>
      <c r="K59" s="1224">
        <f t="shared" si="0"/>
        <v>3.2166385044936203</v>
      </c>
      <c r="L59" s="1182">
        <f t="shared" si="1"/>
        <v>81.70261758412418</v>
      </c>
      <c r="M59" s="1199">
        <f t="shared" si="2"/>
        <v>1.5798706158109066</v>
      </c>
      <c r="N59" s="1205">
        <f t="shared" si="3"/>
        <v>0.111083308881152</v>
      </c>
      <c r="O59" s="1206">
        <f t="shared" si="4"/>
        <v>10892.786482514979</v>
      </c>
      <c r="P59" s="1206">
        <f t="shared" si="5"/>
        <v>10.892786482514978</v>
      </c>
      <c r="Q59" s="1201">
        <f t="shared" si="6"/>
        <v>108.92786482514978</v>
      </c>
    </row>
    <row r="60" spans="1:17" ht="15" customHeight="1">
      <c r="A60" s="1166">
        <v>17666.666666666668</v>
      </c>
      <c r="B60" s="1172">
        <v>5300</v>
      </c>
      <c r="C60" s="1224">
        <v>15.148684998048136</v>
      </c>
      <c r="D60" s="421">
        <v>384.7765969252827</v>
      </c>
      <c r="E60" s="1197">
        <v>7.440364300544676</v>
      </c>
      <c r="F60" s="1205">
        <v>0.5231442863195982</v>
      </c>
      <c r="G60" s="1206">
        <f t="shared" si="7"/>
        <v>51299.32721507141</v>
      </c>
      <c r="H60" s="1206">
        <f t="shared" si="8"/>
        <v>51.29932721507141</v>
      </c>
      <c r="I60" s="1201">
        <v>512.9932721507141</v>
      </c>
      <c r="K60" s="1224">
        <f t="shared" si="0"/>
        <v>3.172892072841182</v>
      </c>
      <c r="L60" s="1182">
        <f t="shared" si="1"/>
        <v>80.59145822600047</v>
      </c>
      <c r="M60" s="1199">
        <f t="shared" si="2"/>
        <v>1.5583843027490825</v>
      </c>
      <c r="N60" s="1205">
        <f t="shared" si="3"/>
        <v>0.10957257076963985</v>
      </c>
      <c r="O60" s="1206">
        <f t="shared" si="4"/>
        <v>10744.644085196707</v>
      </c>
      <c r="P60" s="1206">
        <f t="shared" si="5"/>
        <v>10.744644085196706</v>
      </c>
      <c r="Q60" s="1201">
        <f t="shared" si="6"/>
        <v>107.44644085196707</v>
      </c>
    </row>
    <row r="61" spans="1:17" ht="15" customHeight="1">
      <c r="A61" s="1167">
        <v>18000</v>
      </c>
      <c r="B61" s="1172">
        <v>5400</v>
      </c>
      <c r="C61" s="1224">
        <v>14.942127707880765</v>
      </c>
      <c r="D61" s="421">
        <v>379.5300417826449</v>
      </c>
      <c r="E61" s="1197">
        <v>7.338912492154933</v>
      </c>
      <c r="F61" s="1205">
        <v>0.5160110423342198</v>
      </c>
      <c r="G61" s="1206">
        <f t="shared" si="7"/>
        <v>50599.84405740328</v>
      </c>
      <c r="H61" s="1206">
        <f t="shared" si="8"/>
        <v>50.59984405740328</v>
      </c>
      <c r="I61" s="1201">
        <v>505.9984405740328</v>
      </c>
      <c r="K61" s="1224">
        <f t="shared" si="0"/>
        <v>3.129628648415626</v>
      </c>
      <c r="L61" s="1182">
        <f t="shared" si="1"/>
        <v>79.49256725137498</v>
      </c>
      <c r="M61" s="1199">
        <f t="shared" si="2"/>
        <v>1.5371352214818508</v>
      </c>
      <c r="N61" s="1205">
        <f t="shared" si="3"/>
        <v>0.10807851281690234</v>
      </c>
      <c r="O61" s="1206">
        <f t="shared" si="4"/>
        <v>10598.137337823116</v>
      </c>
      <c r="P61" s="1206">
        <f t="shared" si="5"/>
        <v>10.598137337823117</v>
      </c>
      <c r="Q61" s="1201">
        <f t="shared" si="6"/>
        <v>105.98137337823117</v>
      </c>
    </row>
    <row r="62" spans="1:17" ht="15" customHeight="1">
      <c r="A62" s="1168">
        <v>18333.333333333336</v>
      </c>
      <c r="B62" s="1173">
        <v>5500</v>
      </c>
      <c r="C62" s="1225">
        <v>14.73785696226746</v>
      </c>
      <c r="D62" s="427">
        <v>374.3415648713747</v>
      </c>
      <c r="E62" s="1198">
        <v>7.238583733354898</v>
      </c>
      <c r="F62" s="1207">
        <v>0.5089567618178836</v>
      </c>
      <c r="G62" s="1208">
        <f t="shared" si="7"/>
        <v>49908.10402709479</v>
      </c>
      <c r="H62" s="1208">
        <f t="shared" si="8"/>
        <v>49.908104027094794</v>
      </c>
      <c r="I62" s="1202">
        <v>499.08104027094794</v>
      </c>
      <c r="K62" s="1225">
        <f t="shared" si="0"/>
        <v>3.086844140746919</v>
      </c>
      <c r="L62" s="1184">
        <f t="shared" si="1"/>
        <v>78.40584076230944</v>
      </c>
      <c r="M62" s="1198">
        <f t="shared" si="2"/>
        <v>1.5161213629511834</v>
      </c>
      <c r="N62" s="1207">
        <f t="shared" si="3"/>
        <v>0.10660099376275572</v>
      </c>
      <c r="O62" s="1208">
        <f t="shared" si="4"/>
        <v>10453.252388475004</v>
      </c>
      <c r="P62" s="1208">
        <f t="shared" si="5"/>
        <v>10.453252388475004</v>
      </c>
      <c r="Q62" s="1202">
        <f t="shared" si="6"/>
        <v>104.53252388475005</v>
      </c>
    </row>
    <row r="63" spans="1:17" ht="15" customHeight="1">
      <c r="A63" s="1165">
        <v>18666.666666666668</v>
      </c>
      <c r="B63" s="1174">
        <v>5600</v>
      </c>
      <c r="C63" s="1223">
        <v>14.535853346523309</v>
      </c>
      <c r="D63" s="421">
        <v>369.210673058478</v>
      </c>
      <c r="E63" s="1197">
        <v>7.139368488509727</v>
      </c>
      <c r="F63" s="1205">
        <v>0.5019807743043755</v>
      </c>
      <c r="G63" s="1206">
        <f t="shared" si="7"/>
        <v>49224.041378487214</v>
      </c>
      <c r="H63" s="1206">
        <f t="shared" si="8"/>
        <v>49.224041378487215</v>
      </c>
      <c r="I63" s="1200">
        <v>492.24041378487215</v>
      </c>
      <c r="K63" s="1226">
        <f t="shared" si="0"/>
        <v>3.044534483429307</v>
      </c>
      <c r="L63" s="1182">
        <f t="shared" si="1"/>
        <v>77.33117547209821</v>
      </c>
      <c r="M63" s="1199">
        <f t="shared" si="2"/>
        <v>1.4953407299183623</v>
      </c>
      <c r="N63" s="1205">
        <f t="shared" si="3"/>
        <v>0.10513987317805144</v>
      </c>
      <c r="O63" s="1206">
        <f t="shared" si="4"/>
        <v>10309.975466724147</v>
      </c>
      <c r="P63" s="1206">
        <f t="shared" si="5"/>
        <v>10.309975466724147</v>
      </c>
      <c r="Q63" s="1201">
        <f t="shared" si="6"/>
        <v>103.09975466724147</v>
      </c>
    </row>
    <row r="64" spans="1:17" ht="15" customHeight="1">
      <c r="A64" s="1166">
        <v>19000</v>
      </c>
      <c r="B64" s="1172">
        <v>5700</v>
      </c>
      <c r="C64" s="1224">
        <v>14.336097560478834</v>
      </c>
      <c r="D64" s="421">
        <v>364.1368761196525</v>
      </c>
      <c r="E64" s="1197">
        <v>7.041257278229491</v>
      </c>
      <c r="F64" s="1205">
        <v>0.4950824132821539</v>
      </c>
      <c r="G64" s="1206">
        <f t="shared" si="7"/>
        <v>48547.590753715514</v>
      </c>
      <c r="H64" s="1206">
        <f t="shared" si="8"/>
        <v>48.54759075371551</v>
      </c>
      <c r="I64" s="1201">
        <v>485.47590753715514</v>
      </c>
      <c r="K64" s="1224">
        <f t="shared" si="0"/>
        <v>3.0026956340422917</v>
      </c>
      <c r="L64" s="1182">
        <f t="shared" si="1"/>
        <v>76.26846870326122</v>
      </c>
      <c r="M64" s="1199">
        <f t="shared" si="2"/>
        <v>1.4747913369251668</v>
      </c>
      <c r="N64" s="1205">
        <f t="shared" si="3"/>
        <v>0.10369501146194714</v>
      </c>
      <c r="O64" s="1206">
        <f t="shared" si="4"/>
        <v>10168.292883365715</v>
      </c>
      <c r="P64" s="1206">
        <f t="shared" si="5"/>
        <v>10.168292883365714</v>
      </c>
      <c r="Q64" s="1201">
        <f t="shared" si="6"/>
        <v>101.68292883365714</v>
      </c>
    </row>
    <row r="65" spans="1:17" ht="15" customHeight="1">
      <c r="A65" s="1166">
        <v>19333.333333333336</v>
      </c>
      <c r="B65" s="1172">
        <v>5800</v>
      </c>
      <c r="C65" s="1224">
        <v>14.138570418102944</v>
      </c>
      <c r="D65" s="421">
        <v>359.1196867297112</v>
      </c>
      <c r="E65" s="1197">
        <v>6.944240679183993</v>
      </c>
      <c r="F65" s="1205">
        <v>0.4882610161813297</v>
      </c>
      <c r="G65" s="1206">
        <f t="shared" si="7"/>
        <v>47878.68718143156</v>
      </c>
      <c r="H65" s="1206">
        <f t="shared" si="8"/>
        <v>47.87868718143156</v>
      </c>
      <c r="I65" s="1201">
        <v>478.7868718143156</v>
      </c>
      <c r="K65" s="1224">
        <f t="shared" si="0"/>
        <v>2.9613235740716615</v>
      </c>
      <c r="L65" s="1182">
        <f t="shared" si="1"/>
        <v>75.217618385538</v>
      </c>
      <c r="M65" s="1199">
        <f t="shared" si="2"/>
        <v>1.4544712102550874</v>
      </c>
      <c r="N65" s="1205">
        <f t="shared" si="3"/>
        <v>0.10226626983917951</v>
      </c>
      <c r="O65" s="1206">
        <f t="shared" si="4"/>
        <v>10028.19103015084</v>
      </c>
      <c r="P65" s="1206">
        <f t="shared" si="5"/>
        <v>10.02819103015084</v>
      </c>
      <c r="Q65" s="1201">
        <f t="shared" si="6"/>
        <v>100.2819103015084</v>
      </c>
    </row>
    <row r="66" spans="1:17" ht="15" customHeight="1">
      <c r="A66" s="1167">
        <v>19666.666666666668</v>
      </c>
      <c r="B66" s="1172">
        <v>5900</v>
      </c>
      <c r="C66" s="1224">
        <v>13.943252847126232</v>
      </c>
      <c r="D66" s="421">
        <v>354.15862045301355</v>
      </c>
      <c r="E66" s="1197">
        <v>6.848309323917746</v>
      </c>
      <c r="F66" s="1205">
        <v>0.4815159243606565</v>
      </c>
      <c r="G66" s="1206">
        <f t="shared" si="7"/>
        <v>47217.26607552842</v>
      </c>
      <c r="H66" s="1206">
        <f t="shared" si="8"/>
        <v>47.21726607552842</v>
      </c>
      <c r="I66" s="1201">
        <v>472.1726607552842</v>
      </c>
      <c r="K66" s="1224">
        <f t="shared" si="0"/>
        <v>2.920414308830589</v>
      </c>
      <c r="L66" s="1182">
        <f t="shared" si="1"/>
        <v>74.1785230538837</v>
      </c>
      <c r="M66" s="1199">
        <f t="shared" si="2"/>
        <v>1.434378387894572</v>
      </c>
      <c r="N66" s="1205">
        <f t="shared" si="3"/>
        <v>0.1008535103573395</v>
      </c>
      <c r="O66" s="1206">
        <f t="shared" si="4"/>
        <v>9889.656379519429</v>
      </c>
      <c r="P66" s="1314">
        <f t="shared" si="5"/>
        <v>9.889656379519428</v>
      </c>
      <c r="Q66" s="1201">
        <f t="shared" si="6"/>
        <v>98.89656379519427</v>
      </c>
    </row>
    <row r="67" spans="1:17" ht="15" customHeight="1">
      <c r="A67" s="1168">
        <v>20000</v>
      </c>
      <c r="B67" s="1173">
        <v>6000</v>
      </c>
      <c r="C67" s="1225">
        <v>13.750125888664355</v>
      </c>
      <c r="D67" s="427">
        <v>349.25319573389993</v>
      </c>
      <c r="E67" s="1198">
        <v>6.753453900664991</v>
      </c>
      <c r="F67" s="1207">
        <v>0.47484648309452476</v>
      </c>
      <c r="G67" s="1208">
        <f t="shared" si="7"/>
        <v>46563.263233865015</v>
      </c>
      <c r="H67" s="1208">
        <f t="shared" si="8"/>
        <v>46.563263233865015</v>
      </c>
      <c r="I67" s="1202">
        <v>465.6326323386501</v>
      </c>
      <c r="K67" s="1225">
        <f t="shared" si="0"/>
        <v>2.879963867380749</v>
      </c>
      <c r="L67" s="1184">
        <f t="shared" si="1"/>
        <v>73.15108184646535</v>
      </c>
      <c r="M67" s="1198">
        <f t="shared" si="2"/>
        <v>1.4145109194942824</v>
      </c>
      <c r="N67" s="1207">
        <f t="shared" si="3"/>
        <v>0.09945659588414821</v>
      </c>
      <c r="O67" s="1208">
        <f t="shared" si="4"/>
        <v>9752.675484333027</v>
      </c>
      <c r="P67" s="1315">
        <f t="shared" si="5"/>
        <v>9.752675484333027</v>
      </c>
      <c r="Q67" s="1202">
        <f t="shared" si="6"/>
        <v>97.52675484333027</v>
      </c>
    </row>
    <row r="68" spans="1:17" ht="15" customHeight="1">
      <c r="A68" s="1165">
        <v>20333.333333333336</v>
      </c>
      <c r="B68" s="1174">
        <v>6100</v>
      </c>
      <c r="C68" s="1223">
        <v>13.55917069684187</v>
      </c>
      <c r="D68" s="421">
        <v>344.4029338871365</v>
      </c>
      <c r="E68" s="1197">
        <v>6.659665153164944</v>
      </c>
      <c r="F68" s="1205">
        <v>0.46825204155997124</v>
      </c>
      <c r="G68" s="1206">
        <f t="shared" si="7"/>
        <v>45916.614836992245</v>
      </c>
      <c r="H68" s="1206">
        <f t="shared" si="8"/>
        <v>45.916614836992245</v>
      </c>
      <c r="I68" s="1200">
        <v>459.16614836992244</v>
      </c>
      <c r="K68" s="1226">
        <f t="shared" si="0"/>
        <v>2.8399683024535296</v>
      </c>
      <c r="L68" s="1182">
        <f t="shared" si="1"/>
        <v>72.13519450266074</v>
      </c>
      <c r="M68" s="1199">
        <f t="shared" si="2"/>
        <v>1.3948668663303976</v>
      </c>
      <c r="N68" s="1205">
        <f t="shared" si="3"/>
        <v>0.09807539010473598</v>
      </c>
      <c r="O68" s="1206">
        <f t="shared" si="4"/>
        <v>9617.234977608026</v>
      </c>
      <c r="P68" s="1314">
        <f t="shared" si="5"/>
        <v>9.617234977608026</v>
      </c>
      <c r="Q68" s="1201">
        <f t="shared" si="6"/>
        <v>96.17234977608025</v>
      </c>
    </row>
    <row r="69" spans="1:17" ht="15" customHeight="1">
      <c r="A69" s="1166">
        <v>20666.666666666668</v>
      </c>
      <c r="B69" s="1172">
        <v>6200</v>
      </c>
      <c r="C69" s="1224">
        <v>13.370368538416205</v>
      </c>
      <c r="D69" s="421">
        <v>339.6073590883645</v>
      </c>
      <c r="E69" s="1197">
        <v>6.5669338804771105</v>
      </c>
      <c r="F69" s="1205">
        <v>0.4617319528236935</v>
      </c>
      <c r="G69" s="1206">
        <f t="shared" si="7"/>
        <v>45277.257446879645</v>
      </c>
      <c r="H69" s="1206">
        <f t="shared" si="8"/>
        <v>45.277257446879645</v>
      </c>
      <c r="I69" s="1201">
        <v>452.77257446879645</v>
      </c>
      <c r="K69" s="1224">
        <f t="shared" si="0"/>
        <v>2.8004236903712743</v>
      </c>
      <c r="L69" s="1182">
        <f t="shared" si="1"/>
        <v>71.13076136105794</v>
      </c>
      <c r="M69" s="1199">
        <f t="shared" si="2"/>
        <v>1.3754443012659308</v>
      </c>
      <c r="N69" s="1205">
        <f t="shared" si="3"/>
        <v>0.0967097575189226</v>
      </c>
      <c r="O69" s="1206">
        <f t="shared" si="4"/>
        <v>9483.321572248942</v>
      </c>
      <c r="P69" s="1314">
        <f t="shared" si="5"/>
        <v>9.483321572248942</v>
      </c>
      <c r="Q69" s="1201">
        <f t="shared" si="6"/>
        <v>94.83321572248941</v>
      </c>
    </row>
    <row r="70" spans="1:17" ht="15" customHeight="1">
      <c r="A70" s="1166">
        <v>21000</v>
      </c>
      <c r="B70" s="1172">
        <v>6300</v>
      </c>
      <c r="C70" s="1224">
        <v>13.183700792401863</v>
      </c>
      <c r="D70" s="421">
        <v>334.86599836455474</v>
      </c>
      <c r="E70" s="1197">
        <v>6.475250936796705</v>
      </c>
      <c r="F70" s="1205">
        <v>0.4552855738290716</v>
      </c>
      <c r="G70" s="1206">
        <f t="shared" si="7"/>
        <v>44645.12800564277</v>
      </c>
      <c r="H70" s="1206">
        <f t="shared" si="8"/>
        <v>44.645128005642775</v>
      </c>
      <c r="I70" s="1201">
        <v>446.4512800564277</v>
      </c>
      <c r="K70" s="1224">
        <f t="shared" si="0"/>
        <v>2.76132613096857</v>
      </c>
      <c r="L70" s="1182">
        <f t="shared" si="1"/>
        <v>70.13768335745598</v>
      </c>
      <c r="M70" s="1199">
        <f t="shared" si="2"/>
        <v>1.35624130871207</v>
      </c>
      <c r="N70" s="1205">
        <f t="shared" si="3"/>
        <v>0.09535956343849904</v>
      </c>
      <c r="O70" s="1206">
        <f t="shared" si="4"/>
        <v>9350.922060781879</v>
      </c>
      <c r="P70" s="1314">
        <f t="shared" si="5"/>
        <v>9.35092206078188</v>
      </c>
      <c r="Q70" s="1201">
        <f t="shared" si="6"/>
        <v>93.50922060781879</v>
      </c>
    </row>
    <row r="71" spans="1:17" ht="15" customHeight="1">
      <c r="A71" s="1167">
        <v>21333.333333333336</v>
      </c>
      <c r="B71" s="1172">
        <v>6400</v>
      </c>
      <c r="C71" s="1224">
        <v>12.999148949694968</v>
      </c>
      <c r="D71" s="421">
        <v>330.17838158447125</v>
      </c>
      <c r="E71" s="1197">
        <v>6.384607231270249</v>
      </c>
      <c r="F71" s="1205">
        <v>0.44891226538320284</v>
      </c>
      <c r="G71" s="1206">
        <f t="shared" si="7"/>
        <v>44020.16383427177</v>
      </c>
      <c r="H71" s="1206">
        <f t="shared" si="8"/>
        <v>44.02016383427177</v>
      </c>
      <c r="I71" s="1201">
        <v>440.20163834271773</v>
      </c>
      <c r="K71" s="1224">
        <f aca="true" t="shared" si="9" ref="K71:K134">C71*$S$7</f>
        <v>2.722671747513611</v>
      </c>
      <c r="L71" s="1182">
        <f aca="true" t="shared" si="10" ref="L71:L134">D71*$S$7</f>
        <v>69.15586202286751</v>
      </c>
      <c r="M71" s="1199">
        <f aca="true" t="shared" si="11" ref="M71:M134">E71*$S$7</f>
        <v>1.3372559845895537</v>
      </c>
      <c r="N71" s="1205">
        <f aca="true" t="shared" si="12" ref="N71:N134">F71*$S$7</f>
        <v>0.09402467398451184</v>
      </c>
      <c r="O71" s="1206">
        <f aca="true" t="shared" si="13" ref="O71:O134">G71*$S$7</f>
        <v>9220.023315088221</v>
      </c>
      <c r="P71" s="1314">
        <f aca="true" t="shared" si="14" ref="P71:P134">H71*$S$7</f>
        <v>9.220023315088222</v>
      </c>
      <c r="Q71" s="1201">
        <f aca="true" t="shared" si="15" ref="Q71:Q134">I71*$S$7</f>
        <v>92.20023315088223</v>
      </c>
    </row>
    <row r="72" spans="1:17" ht="15" customHeight="1">
      <c r="A72" s="1168">
        <v>21666.666666666668</v>
      </c>
      <c r="B72" s="1173">
        <v>6500</v>
      </c>
      <c r="C72" s="1225">
        <v>12.816694612698033</v>
      </c>
      <c r="D72" s="427">
        <v>325.54404144914037</v>
      </c>
      <c r="E72" s="1198">
        <v>6.2949937278112715</v>
      </c>
      <c r="F72" s="1207">
        <v>0.4426113921439431</v>
      </c>
      <c r="G72" s="1208">
        <f aca="true" t="shared" si="16" ref="G72:G135">I72*100</f>
        <v>43402.30263136072</v>
      </c>
      <c r="H72" s="1208">
        <f aca="true" t="shared" si="17" ref="H72:H135">G72/1000</f>
        <v>43.40230263136072</v>
      </c>
      <c r="I72" s="1202">
        <v>434.0230263136072</v>
      </c>
      <c r="K72" s="1225">
        <f t="shared" si="9"/>
        <v>2.684456686629603</v>
      </c>
      <c r="L72" s="1184">
        <f t="shared" si="10"/>
        <v>68.18519948152245</v>
      </c>
      <c r="M72" s="1198">
        <f t="shared" si="11"/>
        <v>1.3184864362900708</v>
      </c>
      <c r="N72" s="1207">
        <f t="shared" si="12"/>
        <v>0.09270495608454889</v>
      </c>
      <c r="O72" s="1208">
        <f t="shared" si="13"/>
        <v>9090.612286138503</v>
      </c>
      <c r="P72" s="1315">
        <f t="shared" si="14"/>
        <v>9.090612286138503</v>
      </c>
      <c r="Q72" s="1202">
        <f t="shared" si="15"/>
        <v>90.90612286138503</v>
      </c>
    </row>
    <row r="73" spans="1:17" ht="15" customHeight="1">
      <c r="A73" s="1165">
        <v>22000</v>
      </c>
      <c r="B73" s="1174">
        <v>6600</v>
      </c>
      <c r="C73" s="1223">
        <v>12.63631949494495</v>
      </c>
      <c r="D73" s="421">
        <v>320.96251348232533</v>
      </c>
      <c r="E73" s="1197">
        <v>6.206401444916122</v>
      </c>
      <c r="F73" s="1205">
        <v>0.4363823226069563</v>
      </c>
      <c r="G73" s="1206">
        <f t="shared" si="16"/>
        <v>42791.48247183765</v>
      </c>
      <c r="H73" s="1206">
        <f t="shared" si="17"/>
        <v>42.79148247183765</v>
      </c>
      <c r="I73" s="1200">
        <v>427.9148247183765</v>
      </c>
      <c r="K73" s="1226">
        <f t="shared" si="9"/>
        <v>2.6466771182162194</v>
      </c>
      <c r="L73" s="1182">
        <f t="shared" si="10"/>
        <v>67.22559844887304</v>
      </c>
      <c r="M73" s="1199">
        <f t="shared" si="11"/>
        <v>1.2999307826376818</v>
      </c>
      <c r="N73" s="1205">
        <f t="shared" si="12"/>
        <v>0.09140027747002699</v>
      </c>
      <c r="O73" s="1206">
        <f t="shared" si="13"/>
        <v>8962.676003726396</v>
      </c>
      <c r="P73" s="1314">
        <f t="shared" si="14"/>
        <v>8.962676003726395</v>
      </c>
      <c r="Q73" s="1201">
        <f t="shared" si="15"/>
        <v>89.62676003726396</v>
      </c>
    </row>
    <row r="74" spans="1:17" ht="15" customHeight="1">
      <c r="A74" s="1166">
        <v>22333.333333333336</v>
      </c>
      <c r="B74" s="1172">
        <v>6700</v>
      </c>
      <c r="C74" s="1224">
        <v>12.458005420726295</v>
      </c>
      <c r="D74" s="421">
        <v>316.43333602100927</v>
      </c>
      <c r="E74" s="1197">
        <v>6.118821455479937</v>
      </c>
      <c r="F74" s="1205">
        <v>0.4302244290927749</v>
      </c>
      <c r="G74" s="1206">
        <f t="shared" si="16"/>
        <v>42187.64180569575</v>
      </c>
      <c r="H74" s="1206">
        <f t="shared" si="17"/>
        <v>42.18764180569575</v>
      </c>
      <c r="I74" s="1201">
        <v>421.87641805695745</v>
      </c>
      <c r="K74" s="1224">
        <f t="shared" si="9"/>
        <v>2.6093292353711224</v>
      </c>
      <c r="L74" s="1182">
        <f t="shared" si="10"/>
        <v>66.27696222960039</v>
      </c>
      <c r="M74" s="1199">
        <f t="shared" si="11"/>
        <v>1.2815871538502728</v>
      </c>
      <c r="N74" s="1205">
        <f t="shared" si="12"/>
        <v>0.09011050667348171</v>
      </c>
      <c r="O74" s="1206">
        <f t="shared" si="13"/>
        <v>8836.201576202975</v>
      </c>
      <c r="P74" s="1314">
        <f t="shared" si="14"/>
        <v>8.836201576202974</v>
      </c>
      <c r="Q74" s="1201">
        <f t="shared" si="15"/>
        <v>88.36201576202974</v>
      </c>
    </row>
    <row r="75" spans="1:17" ht="15" customHeight="1">
      <c r="A75" s="1166">
        <v>22666.666666666668</v>
      </c>
      <c r="B75" s="1172">
        <v>6800</v>
      </c>
      <c r="C75" s="1224">
        <v>12.281734324714854</v>
      </c>
      <c r="D75" s="421">
        <v>311.95605020588334</v>
      </c>
      <c r="E75" s="1197">
        <v>6.0322448866127125</v>
      </c>
      <c r="F75" s="1205">
        <v>0.42413708773386755</v>
      </c>
      <c r="G75" s="1206">
        <f t="shared" si="16"/>
        <v>41590.71945672517</v>
      </c>
      <c r="H75" s="1206">
        <f t="shared" si="17"/>
        <v>41.590719456725175</v>
      </c>
      <c r="I75" s="1201">
        <v>415.90719456725174</v>
      </c>
      <c r="K75" s="1224">
        <f t="shared" si="9"/>
        <v>2.572409254311526</v>
      </c>
      <c r="L75" s="1182">
        <f t="shared" si="10"/>
        <v>65.33919471562227</v>
      </c>
      <c r="M75" s="1199">
        <f t="shared" si="11"/>
        <v>1.2634536915010326</v>
      </c>
      <c r="N75" s="1205">
        <f t="shared" si="12"/>
        <v>0.08883551302585856</v>
      </c>
      <c r="O75" s="1206">
        <f t="shared" si="13"/>
        <v>8711.176190211087</v>
      </c>
      <c r="P75" s="1314">
        <f t="shared" si="14"/>
        <v>8.711176190211088</v>
      </c>
      <c r="Q75" s="1201">
        <f t="shared" si="15"/>
        <v>87.11176190211087</v>
      </c>
    </row>
    <row r="76" spans="1:17" ht="15" customHeight="1">
      <c r="A76" s="1167">
        <v>23000</v>
      </c>
      <c r="B76" s="1172">
        <v>6900</v>
      </c>
      <c r="C76" s="1224">
        <v>12.107488251591404</v>
      </c>
      <c r="D76" s="421">
        <v>307.5301999718417</v>
      </c>
      <c r="E76" s="1197">
        <v>5.946662919455506</v>
      </c>
      <c r="F76" s="1205">
        <v>0.4181196784617158</v>
      </c>
      <c r="G76" s="1206">
        <f t="shared" si="16"/>
        <v>41000.65462124586</v>
      </c>
      <c r="H76" s="1206">
        <f t="shared" si="17"/>
        <v>41.000654621245864</v>
      </c>
      <c r="I76" s="1201">
        <v>410.00654621245866</v>
      </c>
      <c r="K76" s="1224">
        <f t="shared" si="9"/>
        <v>2.5359134142958193</v>
      </c>
      <c r="L76" s="1182">
        <f t="shared" si="10"/>
        <v>64.41220038410223</v>
      </c>
      <c r="M76" s="1199">
        <f t="shared" si="11"/>
        <v>1.2455285484799559</v>
      </c>
      <c r="N76" s="1205">
        <f t="shared" si="12"/>
        <v>0.08757516665380638</v>
      </c>
      <c r="O76" s="1206">
        <f t="shared" si="13"/>
        <v>8587.587110419947</v>
      </c>
      <c r="P76" s="1314">
        <f t="shared" si="14"/>
        <v>8.587587110419946</v>
      </c>
      <c r="Q76" s="1201">
        <f t="shared" si="15"/>
        <v>85.87587110419946</v>
      </c>
    </row>
    <row r="77" spans="1:17" ht="15" customHeight="1">
      <c r="A77" s="1168">
        <v>23333.333333333336</v>
      </c>
      <c r="B77" s="1173">
        <v>7000</v>
      </c>
      <c r="C77" s="1225">
        <v>11.935249355670782</v>
      </c>
      <c r="D77" s="427">
        <v>303.1553320384835</v>
      </c>
      <c r="E77" s="1198">
        <v>5.86206678899678</v>
      </c>
      <c r="F77" s="1207">
        <v>0.4121715849939014</v>
      </c>
      <c r="G77" s="1208">
        <f t="shared" si="16"/>
        <v>40417.38686684124</v>
      </c>
      <c r="H77" s="1208">
        <f t="shared" si="17"/>
        <v>40.41738686684124</v>
      </c>
      <c r="I77" s="1202">
        <v>404.1738686684124</v>
      </c>
      <c r="K77" s="1225">
        <f t="shared" si="9"/>
        <v>2.4998379775452455</v>
      </c>
      <c r="L77" s="1184">
        <f t="shared" si="10"/>
        <v>63.495884295460364</v>
      </c>
      <c r="M77" s="1198">
        <f t="shared" si="11"/>
        <v>1.2278098889553757</v>
      </c>
      <c r="N77" s="1207">
        <f t="shared" si="12"/>
        <v>0.08632933847697265</v>
      </c>
      <c r="O77" s="1208">
        <f t="shared" si="13"/>
        <v>8465.421679259898</v>
      </c>
      <c r="P77" s="1315">
        <f t="shared" si="14"/>
        <v>8.465421679259897</v>
      </c>
      <c r="Q77" s="1202">
        <f t="shared" si="15"/>
        <v>84.65421679259897</v>
      </c>
    </row>
    <row r="78" spans="1:17" ht="15" customHeight="1">
      <c r="A78" s="1165">
        <v>23666.666666666668</v>
      </c>
      <c r="B78" s="1174">
        <v>7100</v>
      </c>
      <c r="C78" s="1223">
        <v>11.764999900528192</v>
      </c>
      <c r="D78" s="421">
        <v>298.83099590062136</v>
      </c>
      <c r="E78" s="1197">
        <v>5.778447783888857</v>
      </c>
      <c r="F78" s="1205">
        <v>0.40629219482120016</v>
      </c>
      <c r="G78" s="1206">
        <f t="shared" si="16"/>
        <v>39840.85613109271</v>
      </c>
      <c r="H78" s="1206">
        <f t="shared" si="17"/>
        <v>39.840856131092714</v>
      </c>
      <c r="I78" s="1200">
        <v>398.4085613109271</v>
      </c>
      <c r="K78" s="1226">
        <f t="shared" si="9"/>
        <v>2.4641792291656297</v>
      </c>
      <c r="L78" s="1182">
        <f t="shared" si="10"/>
        <v>62.59015209138514</v>
      </c>
      <c r="M78" s="1199">
        <f t="shared" si="11"/>
        <v>1.210295888335521</v>
      </c>
      <c r="N78" s="1205">
        <f t="shared" si="12"/>
        <v>0.08509790020530038</v>
      </c>
      <c r="O78" s="1206">
        <f t="shared" si="13"/>
        <v>8344.667316657367</v>
      </c>
      <c r="P78" s="1314">
        <f t="shared" si="14"/>
        <v>8.344667316657368</v>
      </c>
      <c r="Q78" s="1201">
        <f t="shared" si="15"/>
        <v>83.44667316657367</v>
      </c>
    </row>
    <row r="79" spans="1:17" ht="15" customHeight="1">
      <c r="A79" s="1166">
        <v>24000</v>
      </c>
      <c r="B79" s="1172">
        <v>7200</v>
      </c>
      <c r="C79" s="1224">
        <v>11.59672225862577</v>
      </c>
      <c r="D79" s="421">
        <v>294.5567438187959</v>
      </c>
      <c r="E79" s="1197">
        <v>5.6957972462645055</v>
      </c>
      <c r="F79" s="1205">
        <v>0.40048089919468666</v>
      </c>
      <c r="G79" s="1206">
        <f t="shared" si="16"/>
        <v>39271.002720315126</v>
      </c>
      <c r="H79" s="1206">
        <f t="shared" si="17"/>
        <v>39.271002720315124</v>
      </c>
      <c r="I79" s="1201">
        <v>392.71002720315124</v>
      </c>
      <c r="K79" s="1224">
        <f t="shared" si="9"/>
        <v>2.4289334770691675</v>
      </c>
      <c r="L79" s="1182">
        <f t="shared" si="10"/>
        <v>61.694909992846796</v>
      </c>
      <c r="M79" s="1199">
        <f t="shared" si="11"/>
        <v>1.1929847332301007</v>
      </c>
      <c r="N79" s="1205">
        <f t="shared" si="12"/>
        <v>0.08388072433632712</v>
      </c>
      <c r="O79" s="1206">
        <f t="shared" si="13"/>
        <v>8225.311519770003</v>
      </c>
      <c r="P79" s="1314">
        <f t="shared" si="14"/>
        <v>8.225311519770003</v>
      </c>
      <c r="Q79" s="1201">
        <f t="shared" si="15"/>
        <v>82.25311519770003</v>
      </c>
    </row>
    <row r="80" spans="1:17" ht="15" customHeight="1">
      <c r="A80" s="1166">
        <v>24333.333333333336</v>
      </c>
      <c r="B80" s="1172">
        <v>7300</v>
      </c>
      <c r="C80" s="1224">
        <v>11.430398910939443</v>
      </c>
      <c r="D80" s="421">
        <v>290.33213080979806</v>
      </c>
      <c r="E80" s="1197">
        <v>5.614106571553673</v>
      </c>
      <c r="F80" s="1205">
        <v>0.3947370931128478</v>
      </c>
      <c r="G80" s="1206">
        <f t="shared" si="16"/>
        <v>38707.767308293136</v>
      </c>
      <c r="H80" s="1206">
        <f t="shared" si="17"/>
        <v>38.707767308293135</v>
      </c>
      <c r="I80" s="1201">
        <v>387.07767308293137</v>
      </c>
      <c r="K80" s="1224">
        <f t="shared" si="9"/>
        <v>2.3940970518962663</v>
      </c>
      <c r="L80" s="1182">
        <f t="shared" si="10"/>
        <v>60.8100647981122</v>
      </c>
      <c r="M80" s="1199">
        <f t="shared" si="11"/>
        <v>1.175874621411917</v>
      </c>
      <c r="N80" s="1205">
        <f t="shared" si="12"/>
        <v>0.08267768415248597</v>
      </c>
      <c r="O80" s="1206">
        <f t="shared" si="13"/>
        <v>8107.341862721997</v>
      </c>
      <c r="P80" s="1314">
        <f t="shared" si="14"/>
        <v>8.107341862721997</v>
      </c>
      <c r="Q80" s="1201">
        <f t="shared" si="15"/>
        <v>81.07341862721998</v>
      </c>
    </row>
    <row r="81" spans="1:17" ht="15" customHeight="1">
      <c r="A81" s="1167">
        <v>24666.666666666668</v>
      </c>
      <c r="B81" s="1172">
        <v>7400</v>
      </c>
      <c r="C81" s="1224">
        <v>11.266012446586005</v>
      </c>
      <c r="D81" s="421">
        <v>286.15671463719656</v>
      </c>
      <c r="E81" s="1197">
        <v>5.533367208300317</v>
      </c>
      <c r="F81" s="1205">
        <v>0.3890601753087043</v>
      </c>
      <c r="G81" s="1206">
        <f t="shared" si="16"/>
        <v>38151.09093501834</v>
      </c>
      <c r="H81" s="1206">
        <f t="shared" si="17"/>
        <v>38.151090935018345</v>
      </c>
      <c r="I81" s="1201">
        <v>381.51090935018345</v>
      </c>
      <c r="K81" s="1224">
        <f t="shared" si="9"/>
        <v>2.359666306937439</v>
      </c>
      <c r="L81" s="1182">
        <f t="shared" si="10"/>
        <v>59.93552388076082</v>
      </c>
      <c r="M81" s="1199">
        <f t="shared" si="11"/>
        <v>1.1589637617785014</v>
      </c>
      <c r="N81" s="1205">
        <f t="shared" si="12"/>
        <v>0.08148865371840812</v>
      </c>
      <c r="O81" s="1206">
        <f t="shared" si="13"/>
        <v>7990.745996339592</v>
      </c>
      <c r="P81" s="1314">
        <f t="shared" si="14"/>
        <v>7.990745996339593</v>
      </c>
      <c r="Q81" s="1201">
        <f t="shared" si="15"/>
        <v>79.90745996339592</v>
      </c>
    </row>
    <row r="82" spans="1:17" ht="15" customHeight="1">
      <c r="A82" s="1168">
        <v>25000</v>
      </c>
      <c r="B82" s="1173">
        <v>7500</v>
      </c>
      <c r="C82" s="1225">
        <v>11.103545562450465</v>
      </c>
      <c r="D82" s="427">
        <v>282.0300558018731</v>
      </c>
      <c r="E82" s="1198">
        <v>5.453570657979378</v>
      </c>
      <c r="F82" s="1207">
        <v>0.3834495482369415</v>
      </c>
      <c r="G82" s="1208">
        <f t="shared" si="16"/>
        <v>37600.91500542736</v>
      </c>
      <c r="H82" s="1208">
        <f t="shared" si="17"/>
        <v>37.60091500542736</v>
      </c>
      <c r="I82" s="1202">
        <v>376.0091500542736</v>
      </c>
      <c r="K82" s="1225">
        <f t="shared" si="9"/>
        <v>2.32563761805525</v>
      </c>
      <c r="L82" s="1184">
        <f t="shared" si="10"/>
        <v>59.07119518770232</v>
      </c>
      <c r="M82" s="1198">
        <f t="shared" si="11"/>
        <v>1.1422503743137806</v>
      </c>
      <c r="N82" s="1207">
        <f t="shared" si="12"/>
        <v>0.0803135078782274</v>
      </c>
      <c r="O82" s="1208">
        <f t="shared" si="13"/>
        <v>7875.511647886761</v>
      </c>
      <c r="P82" s="1315">
        <f t="shared" si="14"/>
        <v>7.875511647886761</v>
      </c>
      <c r="Q82" s="1202">
        <f t="shared" si="15"/>
        <v>78.7551164788676</v>
      </c>
    </row>
    <row r="83" spans="1:17" ht="15" customHeight="1">
      <c r="A83" s="1165">
        <v>25333.333333333336</v>
      </c>
      <c r="B83" s="1174">
        <v>7600</v>
      </c>
      <c r="C83" s="1223">
        <v>10.942981062813686</v>
      </c>
      <c r="D83" s="421">
        <v>277.95171753256386</v>
      </c>
      <c r="E83" s="1197">
        <v>5.374708474813892</v>
      </c>
      <c r="F83" s="1205">
        <v>0.37790461806105036</v>
      </c>
      <c r="G83" s="1206">
        <f t="shared" si="16"/>
        <v>37057.18128814083</v>
      </c>
      <c r="H83" s="1206">
        <f t="shared" si="17"/>
        <v>37.05718128814083</v>
      </c>
      <c r="I83" s="1200">
        <v>370.57181288140833</v>
      </c>
      <c r="K83" s="1226">
        <f t="shared" si="9"/>
        <v>2.2920073836063266</v>
      </c>
      <c r="L83" s="1182">
        <f t="shared" si="10"/>
        <v>58.2169872371955</v>
      </c>
      <c r="M83" s="1199">
        <f t="shared" si="11"/>
        <v>1.1257326900497697</v>
      </c>
      <c r="N83" s="1205">
        <f t="shared" si="12"/>
        <v>0.079152122252887</v>
      </c>
      <c r="O83" s="1206">
        <f t="shared" si="13"/>
        <v>7761.6266208010975</v>
      </c>
      <c r="P83" s="1314">
        <f t="shared" si="14"/>
        <v>7.761626620801097</v>
      </c>
      <c r="Q83" s="1201">
        <f t="shared" si="15"/>
        <v>77.61626620801097</v>
      </c>
    </row>
    <row r="84" spans="1:17" ht="15" customHeight="1">
      <c r="A84" s="1166">
        <v>25666.666666666668</v>
      </c>
      <c r="B84" s="1172">
        <v>7700</v>
      </c>
      <c r="C84" s="1224">
        <v>10.784301858980262</v>
      </c>
      <c r="D84" s="421">
        <v>273.9212657764078</v>
      </c>
      <c r="E84" s="1197">
        <v>5.296772265592222</v>
      </c>
      <c r="F84" s="1205">
        <v>0.37242479464047656</v>
      </c>
      <c r="G84" s="1206">
        <f t="shared" si="16"/>
        <v>36519.831914203314</v>
      </c>
      <c r="H84" s="1206">
        <f t="shared" si="17"/>
        <v>36.519831914203316</v>
      </c>
      <c r="I84" s="1201">
        <v>365.19831914203314</v>
      </c>
      <c r="K84" s="1224">
        <f t="shared" si="9"/>
        <v>2.2587720243634157</v>
      </c>
      <c r="L84" s="1182">
        <f t="shared" si="10"/>
        <v>57.37280911686861</v>
      </c>
      <c r="M84" s="1199">
        <f t="shared" si="11"/>
        <v>1.1094089510282907</v>
      </c>
      <c r="N84" s="1205">
        <f t="shared" si="12"/>
        <v>0.07800437323744781</v>
      </c>
      <c r="O84" s="1206">
        <f t="shared" si="13"/>
        <v>7649.0787944298845</v>
      </c>
      <c r="P84" s="1314">
        <f t="shared" si="14"/>
        <v>7.649078794429884</v>
      </c>
      <c r="Q84" s="1201">
        <f t="shared" si="15"/>
        <v>76.49078794429884</v>
      </c>
    </row>
    <row r="85" spans="1:17" ht="15" customHeight="1">
      <c r="A85" s="1166">
        <v>26000</v>
      </c>
      <c r="B85" s="1172">
        <v>7800</v>
      </c>
      <c r="C85" s="1224">
        <v>10.627490968906644</v>
      </c>
      <c r="D85" s="421">
        <v>269.93826918950106</v>
      </c>
      <c r="E85" s="1197">
        <v>5.219753689485404</v>
      </c>
      <c r="F85" s="1205">
        <v>0.36700949151777823</v>
      </c>
      <c r="G85" s="1206">
        <f t="shared" si="16"/>
        <v>35988.80937582394</v>
      </c>
      <c r="H85" s="1206">
        <f t="shared" si="17"/>
        <v>35.98880937582394</v>
      </c>
      <c r="I85" s="1201">
        <v>359.8880937582394</v>
      </c>
      <c r="K85" s="1224">
        <f t="shared" si="9"/>
        <v>2.2259279834374963</v>
      </c>
      <c r="L85" s="1182">
        <f t="shared" si="10"/>
        <v>56.538570481741</v>
      </c>
      <c r="M85" s="1199">
        <f t="shared" si="11"/>
        <v>1.0932774102627179</v>
      </c>
      <c r="N85" s="1205">
        <f t="shared" si="12"/>
        <v>0.07687013799839865</v>
      </c>
      <c r="O85" s="1206">
        <f t="shared" si="13"/>
        <v>7537.856123766324</v>
      </c>
      <c r="P85" s="1314">
        <f t="shared" si="14"/>
        <v>7.537856123766324</v>
      </c>
      <c r="Q85" s="1201">
        <f t="shared" si="15"/>
        <v>75.37856123766323</v>
      </c>
    </row>
    <row r="86" spans="1:17" ht="15" customHeight="1">
      <c r="A86" s="1167">
        <v>26333.333333333336</v>
      </c>
      <c r="B86" s="1172">
        <v>7900</v>
      </c>
      <c r="C86" s="1224">
        <v>10.472531516829577</v>
      </c>
      <c r="D86" s="421">
        <v>266.00229912745914</v>
      </c>
      <c r="E86" s="1197">
        <v>5.143644457864657</v>
      </c>
      <c r="F86" s="1205">
        <v>0.36165812590579416</v>
      </c>
      <c r="G86" s="1206">
        <f t="shared" si="16"/>
        <v>35464.056525118154</v>
      </c>
      <c r="H86" s="1206">
        <f t="shared" si="17"/>
        <v>35.46405652511815</v>
      </c>
      <c r="I86" s="1201">
        <v>354.64056525118156</v>
      </c>
      <c r="K86" s="1224">
        <f t="shared" si="9"/>
        <v>2.1934717261999546</v>
      </c>
      <c r="L86" s="1182">
        <f t="shared" si="10"/>
        <v>55.714181552246316</v>
      </c>
      <c r="M86" s="1199">
        <f t="shared" si="11"/>
        <v>1.0773363316997524</v>
      </c>
      <c r="N86" s="1205">
        <f t="shared" si="12"/>
        <v>0.07574929447096859</v>
      </c>
      <c r="O86" s="1206">
        <f t="shared" si="13"/>
        <v>7427.946639185997</v>
      </c>
      <c r="P86" s="1314">
        <f t="shared" si="14"/>
        <v>7.427946639185997</v>
      </c>
      <c r="Q86" s="1201">
        <f t="shared" si="15"/>
        <v>74.27946639185997</v>
      </c>
    </row>
    <row r="87" spans="1:17" ht="15" customHeight="1">
      <c r="A87" s="1168">
        <v>26666.666666666668</v>
      </c>
      <c r="B87" s="1173">
        <v>8000</v>
      </c>
      <c r="C87" s="1225">
        <v>10.319406732894793</v>
      </c>
      <c r="D87" s="427">
        <v>262.112929635986</v>
      </c>
      <c r="E87" s="1198">
        <v>5.0684363341190135</v>
      </c>
      <c r="F87" s="1207">
        <v>0.35637011867482155</v>
      </c>
      <c r="G87" s="1208">
        <f t="shared" si="16"/>
        <v>34945.51657285038</v>
      </c>
      <c r="H87" s="1208">
        <f t="shared" si="17"/>
        <v>34.94551657285038</v>
      </c>
      <c r="I87" s="1202">
        <v>349.45516572850374</v>
      </c>
      <c r="K87" s="1225">
        <f t="shared" si="9"/>
        <v>2.161399740204814</v>
      </c>
      <c r="L87" s="1184">
        <f t="shared" si="10"/>
        <v>54.899553112257266</v>
      </c>
      <c r="M87" s="1198">
        <f t="shared" si="11"/>
        <v>1.0615839901812274</v>
      </c>
      <c r="N87" s="1207">
        <f t="shared" si="12"/>
        <v>0.07464172135644137</v>
      </c>
      <c r="O87" s="1208">
        <f t="shared" si="13"/>
        <v>7319.338446183511</v>
      </c>
      <c r="P87" s="1315">
        <f t="shared" si="14"/>
        <v>7.319338446183512</v>
      </c>
      <c r="Q87" s="1202">
        <f t="shared" si="15"/>
        <v>73.19338446183511</v>
      </c>
    </row>
    <row r="88" spans="1:17" ht="15" customHeight="1">
      <c r="A88" s="1165">
        <v>27000</v>
      </c>
      <c r="B88" s="1174">
        <v>8100</v>
      </c>
      <c r="C88" s="1223">
        <v>10.168099952785859</v>
      </c>
      <c r="D88" s="421">
        <v>258.2697374414464</v>
      </c>
      <c r="E88" s="1197">
        <v>4.994121133473022</v>
      </c>
      <c r="F88" s="1205">
        <v>0.3511448943397982</v>
      </c>
      <c r="G88" s="1206">
        <f t="shared" si="16"/>
        <v>34433.13308717705</v>
      </c>
      <c r="H88" s="1206">
        <f t="shared" si="17"/>
        <v>34.43313308717705</v>
      </c>
      <c r="I88" s="1200">
        <v>344.3313308717705</v>
      </c>
      <c r="K88" s="1226">
        <f t="shared" si="9"/>
        <v>2.129708535110998</v>
      </c>
      <c r="L88" s="1182">
        <f t="shared" si="10"/>
        <v>54.09459650711095</v>
      </c>
      <c r="M88" s="1199">
        <f t="shared" si="11"/>
        <v>1.0460186714059243</v>
      </c>
      <c r="N88" s="1205">
        <f t="shared" si="12"/>
        <v>0.07354729811947072</v>
      </c>
      <c r="O88" s="1206">
        <f t="shared" si="13"/>
        <v>7212.019725109232</v>
      </c>
      <c r="P88" s="1314">
        <f t="shared" si="14"/>
        <v>7.212019725109233</v>
      </c>
      <c r="Q88" s="1201">
        <f t="shared" si="15"/>
        <v>72.12019725109232</v>
      </c>
    </row>
    <row r="89" spans="1:17" ht="15" customHeight="1">
      <c r="A89" s="1166">
        <v>27333.333333333336</v>
      </c>
      <c r="B89" s="1172">
        <v>8200</v>
      </c>
      <c r="C89" s="1224">
        <v>10.018594617353475</v>
      </c>
      <c r="D89" s="421">
        <v>254.47230194145038</v>
      </c>
      <c r="E89" s="1197">
        <v>4.920690722804677</v>
      </c>
      <c r="F89" s="1205">
        <v>0.34598188104750094</v>
      </c>
      <c r="G89" s="1206">
        <f t="shared" si="16"/>
        <v>33926.8499923914</v>
      </c>
      <c r="H89" s="1206">
        <f t="shared" si="17"/>
        <v>33.926849992391396</v>
      </c>
      <c r="I89" s="1201">
        <v>339.26849992391396</v>
      </c>
      <c r="K89" s="1224">
        <f t="shared" si="9"/>
        <v>2.0983946426046853</v>
      </c>
      <c r="L89" s="1182">
        <f t="shared" si="10"/>
        <v>53.29922364163678</v>
      </c>
      <c r="M89" s="1199">
        <f t="shared" si="11"/>
        <v>1.0306386718914395</v>
      </c>
      <c r="N89" s="1205">
        <f t="shared" si="12"/>
        <v>0.07246590498539907</v>
      </c>
      <c r="O89" s="1206">
        <f t="shared" si="13"/>
        <v>7105.978730906379</v>
      </c>
      <c r="P89" s="1314">
        <f t="shared" si="14"/>
        <v>7.1059787309063775</v>
      </c>
      <c r="Q89" s="1201">
        <f t="shared" si="15"/>
        <v>71.05978730906378</v>
      </c>
    </row>
    <row r="90" spans="1:17" ht="15" customHeight="1">
      <c r="A90" s="1166">
        <v>27666.666666666668</v>
      </c>
      <c r="B90" s="1172">
        <v>8300</v>
      </c>
      <c r="C90" s="1224">
        <v>9.870874272244945</v>
      </c>
      <c r="D90" s="421">
        <v>250.7202051954416</v>
      </c>
      <c r="E90" s="1197">
        <v>4.848137020463433</v>
      </c>
      <c r="F90" s="1205">
        <v>0.3408805105637498</v>
      </c>
      <c r="G90" s="1206">
        <f t="shared" si="16"/>
        <v>33426.61156766858</v>
      </c>
      <c r="H90" s="1206">
        <f t="shared" si="17"/>
        <v>33.42661156766858</v>
      </c>
      <c r="I90" s="1201">
        <v>334.2661156766858</v>
      </c>
      <c r="K90" s="1224">
        <f t="shared" si="9"/>
        <v>2.0674546163217036</v>
      </c>
      <c r="L90" s="1182">
        <f t="shared" si="10"/>
        <v>52.51334697818524</v>
      </c>
      <c r="M90" s="1199">
        <f t="shared" si="11"/>
        <v>1.015442298936066</v>
      </c>
      <c r="N90" s="1205">
        <f t="shared" si="12"/>
        <v>0.07139742293757739</v>
      </c>
      <c r="O90" s="1206">
        <f t="shared" si="13"/>
        <v>7001.203792848184</v>
      </c>
      <c r="P90" s="1314">
        <f t="shared" si="14"/>
        <v>7.001203792848184</v>
      </c>
      <c r="Q90" s="1201">
        <f t="shared" si="15"/>
        <v>70.01203792848183</v>
      </c>
    </row>
    <row r="91" spans="1:17" ht="15" customHeight="1">
      <c r="A91" s="1167">
        <v>28000</v>
      </c>
      <c r="B91" s="1172">
        <v>8400</v>
      </c>
      <c r="C91" s="1224">
        <v>9.724922567533818</v>
      </c>
      <c r="D91" s="421">
        <v>247.0130319152904</v>
      </c>
      <c r="E91" s="1197">
        <v>4.7764519960883</v>
      </c>
      <c r="F91" s="1205">
        <v>0.3358402182606179</v>
      </c>
      <c r="G91" s="1206">
        <f t="shared" si="16"/>
        <v>32932.36244581158</v>
      </c>
      <c r="H91" s="1206">
        <f t="shared" si="17"/>
        <v>32.932362445811584</v>
      </c>
      <c r="I91" s="1201">
        <v>329.32362445811583</v>
      </c>
      <c r="K91" s="1224">
        <f t="shared" si="9"/>
        <v>2.036885031769958</v>
      </c>
      <c r="L91" s="1182">
        <f t="shared" si="10"/>
        <v>51.736879534657575</v>
      </c>
      <c r="M91" s="1199">
        <f t="shared" si="11"/>
        <v>1.0004278705806944</v>
      </c>
      <c r="N91" s="1205">
        <f t="shared" si="12"/>
        <v>0.07034173371468641</v>
      </c>
      <c r="O91" s="1206">
        <f t="shared" si="13"/>
        <v>6897.683314275236</v>
      </c>
      <c r="P91" s="1314">
        <f t="shared" si="14"/>
        <v>6.897683314275236</v>
      </c>
      <c r="Q91" s="1201">
        <f t="shared" si="15"/>
        <v>68.97683314275235</v>
      </c>
    </row>
    <row r="92" spans="1:17" ht="15" customHeight="1">
      <c r="A92" s="1168">
        <v>28333.333333333336</v>
      </c>
      <c r="B92" s="1173">
        <v>8500</v>
      </c>
      <c r="C92" s="1225">
        <v>9.580723257349995</v>
      </c>
      <c r="D92" s="427">
        <v>243.35036945589846</v>
      </c>
      <c r="E92" s="1198">
        <v>4.705627670426162</v>
      </c>
      <c r="F92" s="1207">
        <v>0.33086044310365775</v>
      </c>
      <c r="G92" s="1208">
        <f t="shared" si="16"/>
        <v>32444.047611998565</v>
      </c>
      <c r="H92" s="1208">
        <f t="shared" si="17"/>
        <v>32.44404761199856</v>
      </c>
      <c r="I92" s="1202">
        <v>324.44047611998565</v>
      </c>
      <c r="K92" s="1225">
        <f t="shared" si="9"/>
        <v>2.006682486251956</v>
      </c>
      <c r="L92" s="1184">
        <f t="shared" si="10"/>
        <v>50.969734882537935</v>
      </c>
      <c r="M92" s="1198">
        <f t="shared" si="11"/>
        <v>0.9855937155707597</v>
      </c>
      <c r="N92" s="1207">
        <f t="shared" si="12"/>
        <v>0.06929871980806111</v>
      </c>
      <c r="O92" s="1208">
        <f t="shared" si="13"/>
        <v>6795.4057723331</v>
      </c>
      <c r="P92" s="1315">
        <f t="shared" si="14"/>
        <v>6.795405772333099</v>
      </c>
      <c r="Q92" s="1202">
        <f t="shared" si="15"/>
        <v>67.95405772333099</v>
      </c>
    </row>
    <row r="93" spans="1:17" ht="15" customHeight="1">
      <c r="A93" s="1165">
        <v>28666.666666666668</v>
      </c>
      <c r="B93" s="1174">
        <v>8600</v>
      </c>
      <c r="C93" s="1223">
        <v>9.438260199509973</v>
      </c>
      <c r="D93" s="421">
        <v>239.73180780580697</v>
      </c>
      <c r="E93" s="1197">
        <v>4.635656115150183</v>
      </c>
      <c r="F93" s="1205">
        <v>0.32594062763913206</v>
      </c>
      <c r="G93" s="1206">
        <f t="shared" si="16"/>
        <v>31961.61240253078</v>
      </c>
      <c r="H93" s="1206">
        <f t="shared" si="17"/>
        <v>31.96161240253078</v>
      </c>
      <c r="I93" s="1200">
        <v>319.6161240253078</v>
      </c>
      <c r="K93" s="1226">
        <f t="shared" si="9"/>
        <v>1.9768435987873638</v>
      </c>
      <c r="L93" s="1182">
        <f t="shared" si="10"/>
        <v>50.21182714492627</v>
      </c>
      <c r="M93" s="1199">
        <f t="shared" si="11"/>
        <v>0.9709381733182058</v>
      </c>
      <c r="N93" s="1205">
        <f t="shared" si="12"/>
        <v>0.06826826445901621</v>
      </c>
      <c r="O93" s="1206">
        <f t="shared" si="13"/>
        <v>6694.359717710072</v>
      </c>
      <c r="P93" s="1314">
        <f t="shared" si="14"/>
        <v>6.694359717710071</v>
      </c>
      <c r="Q93" s="1201">
        <f t="shared" si="15"/>
        <v>66.94359717710071</v>
      </c>
    </row>
    <row r="94" spans="1:17" ht="15" customHeight="1">
      <c r="A94" s="1166">
        <v>29000</v>
      </c>
      <c r="B94" s="1172">
        <v>8700</v>
      </c>
      <c r="C94" s="1224">
        <v>9.29751735514735</v>
      </c>
      <c r="D94" s="421">
        <v>236.15693957781147</v>
      </c>
      <c r="E94" s="1197">
        <v>4.566529452678312</v>
      </c>
      <c r="F94" s="1205">
        <v>0.3210802179812534</v>
      </c>
      <c r="G94" s="1206">
        <f t="shared" si="16"/>
        <v>31485.002503581243</v>
      </c>
      <c r="H94" s="1206">
        <f t="shared" si="17"/>
        <v>31.485002503581242</v>
      </c>
      <c r="I94" s="1201">
        <v>314.85002503581245</v>
      </c>
      <c r="K94" s="1224">
        <f t="shared" si="9"/>
        <v>1.9473650100356126</v>
      </c>
      <c r="L94" s="1182">
        <f t="shared" si="10"/>
        <v>49.46307099457261</v>
      </c>
      <c r="M94" s="1199">
        <f t="shared" si="11"/>
        <v>0.9564595938634723</v>
      </c>
      <c r="N94" s="1205">
        <f t="shared" si="12"/>
        <v>0.06725025165617353</v>
      </c>
      <c r="O94" s="1206">
        <f t="shared" si="13"/>
        <v>6594.5337743750915</v>
      </c>
      <c r="P94" s="1314">
        <f t="shared" si="14"/>
        <v>6.594533774375091</v>
      </c>
      <c r="Q94" s="1201">
        <f t="shared" si="15"/>
        <v>65.94533774375091</v>
      </c>
    </row>
    <row r="95" spans="1:17" ht="15" customHeight="1">
      <c r="A95" s="1166">
        <v>29333.333333333336</v>
      </c>
      <c r="B95" s="1172">
        <v>8800</v>
      </c>
      <c r="C95" s="1224">
        <v>9.158478788343665</v>
      </c>
      <c r="D95" s="421">
        <v>232.6253599995851</v>
      </c>
      <c r="E95" s="1197">
        <v>4.498239855991977</v>
      </c>
      <c r="F95" s="1205">
        <v>0.3162786637994359</v>
      </c>
      <c r="G95" s="1206">
        <f t="shared" si="16"/>
        <v>31014.163949944686</v>
      </c>
      <c r="H95" s="1206">
        <f t="shared" si="17"/>
        <v>31.014163949944688</v>
      </c>
      <c r="I95" s="1201">
        <v>310.14163949944685</v>
      </c>
      <c r="K95" s="1224">
        <f t="shared" si="9"/>
        <v>1.9182433822185805</v>
      </c>
      <c r="L95" s="1182">
        <f t="shared" si="10"/>
        <v>48.7233816519131</v>
      </c>
      <c r="M95" s="1199">
        <f t="shared" si="11"/>
        <v>0.9421563378375195</v>
      </c>
      <c r="N95" s="1205">
        <f t="shared" si="12"/>
        <v>0.06624456613279185</v>
      </c>
      <c r="O95" s="1206">
        <f t="shared" si="13"/>
        <v>6495.916639315915</v>
      </c>
      <c r="P95" s="1314">
        <f t="shared" si="14"/>
        <v>6.495916639315915</v>
      </c>
      <c r="Q95" s="1201">
        <f t="shared" si="15"/>
        <v>64.95916639315914</v>
      </c>
    </row>
    <row r="96" spans="1:17" ht="15" customHeight="1">
      <c r="A96" s="1167">
        <v>29666.666666666668</v>
      </c>
      <c r="B96" s="1172">
        <v>8900</v>
      </c>
      <c r="C96" s="1224">
        <v>9.021128665759514</v>
      </c>
      <c r="D96" s="421">
        <v>229.1366669043092</v>
      </c>
      <c r="E96" s="1197">
        <v>4.430779548454905</v>
      </c>
      <c r="F96" s="1205">
        <v>0.31153541830555626</v>
      </c>
      <c r="G96" s="1206">
        <f t="shared" si="16"/>
        <v>30549.043123788328</v>
      </c>
      <c r="H96" s="1206">
        <f t="shared" si="17"/>
        <v>30.549043123788326</v>
      </c>
      <c r="I96" s="1201">
        <v>305.4904312378833</v>
      </c>
      <c r="K96" s="1224">
        <f t="shared" si="9"/>
        <v>1.8894753990433302</v>
      </c>
      <c r="L96" s="1182">
        <f t="shared" si="10"/>
        <v>47.99267488310756</v>
      </c>
      <c r="M96" s="1199">
        <f t="shared" si="11"/>
        <v>0.9280267764238798</v>
      </c>
      <c r="N96" s="1205">
        <f t="shared" si="12"/>
        <v>0.06525109336409876</v>
      </c>
      <c r="O96" s="1206">
        <f t="shared" si="13"/>
        <v>6398.497082277465</v>
      </c>
      <c r="P96" s="1314">
        <f t="shared" si="14"/>
        <v>6.398497082277465</v>
      </c>
      <c r="Q96" s="1201">
        <f t="shared" si="15"/>
        <v>63.984970822774656</v>
      </c>
    </row>
    <row r="97" spans="1:17" ht="15" customHeight="1">
      <c r="A97" s="1168">
        <v>30000</v>
      </c>
      <c r="B97" s="1173">
        <v>9000</v>
      </c>
      <c r="C97" s="1225">
        <v>8.885451256265807</v>
      </c>
      <c r="D97" s="427">
        <v>225.69046072130698</v>
      </c>
      <c r="E97" s="1198">
        <v>4.364140803632009</v>
      </c>
      <c r="F97" s="1207">
        <v>0.3068499382412191</v>
      </c>
      <c r="G97" s="1208">
        <f t="shared" si="16"/>
        <v>30089.586753403193</v>
      </c>
      <c r="H97" s="1208">
        <f t="shared" si="17"/>
        <v>30.089586753403193</v>
      </c>
      <c r="I97" s="1202">
        <v>300.89586753403194</v>
      </c>
      <c r="K97" s="1225">
        <f t="shared" si="9"/>
        <v>1.8610577656248732</v>
      </c>
      <c r="L97" s="1184">
        <f t="shared" si="10"/>
        <v>47.27086699807774</v>
      </c>
      <c r="M97" s="1198">
        <f t="shared" si="11"/>
        <v>0.9140692913207242</v>
      </c>
      <c r="N97" s="1207">
        <f t="shared" si="12"/>
        <v>0.06426971956462334</v>
      </c>
      <c r="O97" s="1208">
        <f t="shared" si="13"/>
        <v>6302.263945500299</v>
      </c>
      <c r="P97" s="1315">
        <f t="shared" si="14"/>
        <v>6.3022639455002984</v>
      </c>
      <c r="Q97" s="1202">
        <f t="shared" si="15"/>
        <v>63.02263945500299</v>
      </c>
    </row>
    <row r="98" spans="1:17" ht="15" customHeight="1">
      <c r="A98" s="1165">
        <v>30333.333333333336</v>
      </c>
      <c r="B98" s="1174">
        <v>9100</v>
      </c>
      <c r="C98" s="1223">
        <v>8.751430930575477</v>
      </c>
      <c r="D98" s="421">
        <v>222.286344466689</v>
      </c>
      <c r="E98" s="1197">
        <v>4.298315945108501</v>
      </c>
      <c r="F98" s="1205">
        <v>0.30222168386503917</v>
      </c>
      <c r="G98" s="1206">
        <f t="shared" si="16"/>
        <v>29635.741911956928</v>
      </c>
      <c r="H98" s="1206">
        <f t="shared" si="17"/>
        <v>29.635741911956927</v>
      </c>
      <c r="I98" s="1200">
        <v>296.3574191195693</v>
      </c>
      <c r="K98" s="1226">
        <f t="shared" si="9"/>
        <v>1.8329872084090337</v>
      </c>
      <c r="L98" s="1182">
        <f t="shared" si="10"/>
        <v>46.55787484854801</v>
      </c>
      <c r="M98" s="1199">
        <f t="shared" si="11"/>
        <v>0.9002822747029756</v>
      </c>
      <c r="N98" s="1205">
        <f t="shared" si="12"/>
        <v>0.06330033168553245</v>
      </c>
      <c r="O98" s="1206">
        <f t="shared" si="13"/>
        <v>6207.206143459379</v>
      </c>
      <c r="P98" s="1314">
        <f t="shared" si="14"/>
        <v>6.207206143459378</v>
      </c>
      <c r="Q98" s="1201">
        <f t="shared" si="15"/>
        <v>62.072061434593785</v>
      </c>
    </row>
    <row r="99" spans="1:17" ht="15" customHeight="1">
      <c r="A99" s="1166">
        <v>30666.666666666668</v>
      </c>
      <c r="B99" s="1172">
        <v>9200</v>
      </c>
      <c r="C99" s="1224">
        <v>8.619052160875333</v>
      </c>
      <c r="D99" s="421">
        <v>218.92392373400227</v>
      </c>
      <c r="E99" s="1197">
        <v>4.233297346309075</v>
      </c>
      <c r="F99" s="1205">
        <v>0.2976501189399271</v>
      </c>
      <c r="G99" s="1206">
        <f t="shared" si="16"/>
        <v>29187.45601624708</v>
      </c>
      <c r="H99" s="1206">
        <f t="shared" si="17"/>
        <v>29.18745601624708</v>
      </c>
      <c r="I99" s="1201">
        <v>291.8745601624708</v>
      </c>
      <c r="K99" s="1224">
        <f t="shared" si="9"/>
        <v>1.8052604750953383</v>
      </c>
      <c r="L99" s="1182">
        <f t="shared" si="10"/>
        <v>45.853615826086774</v>
      </c>
      <c r="M99" s="1199">
        <f t="shared" si="11"/>
        <v>0.8866641291844357</v>
      </c>
      <c r="N99" s="1205">
        <f t="shared" si="12"/>
        <v>0.06234281741196773</v>
      </c>
      <c r="O99" s="1206">
        <f t="shared" si="13"/>
        <v>6113.312662602951</v>
      </c>
      <c r="P99" s="1314">
        <f t="shared" si="14"/>
        <v>6.113312662602951</v>
      </c>
      <c r="Q99" s="1201">
        <f t="shared" si="15"/>
        <v>61.13312662602951</v>
      </c>
    </row>
    <row r="100" spans="1:17" ht="15" customHeight="1">
      <c r="A100" s="1166">
        <v>31000</v>
      </c>
      <c r="B100" s="1172">
        <v>9300</v>
      </c>
      <c r="C100" s="1224">
        <v>8.48829952045821</v>
      </c>
      <c r="D100" s="421">
        <v>215.60280668488693</v>
      </c>
      <c r="E100" s="1197">
        <v>4.169077430317234</v>
      </c>
      <c r="F100" s="1205">
        <v>0.29313471072038644</v>
      </c>
      <c r="G100" s="1206">
        <f t="shared" si="16"/>
        <v>28744.676825455485</v>
      </c>
      <c r="H100" s="1206">
        <f t="shared" si="17"/>
        <v>28.744676825455485</v>
      </c>
      <c r="I100" s="1201">
        <v>287.44676825455485</v>
      </c>
      <c r="K100" s="1224">
        <f t="shared" si="9"/>
        <v>1.777874334559972</v>
      </c>
      <c r="L100" s="1182">
        <f t="shared" si="10"/>
        <v>45.15800786014957</v>
      </c>
      <c r="M100" s="1199">
        <f t="shared" si="11"/>
        <v>0.8732132677799447</v>
      </c>
      <c r="N100" s="1205">
        <f t="shared" si="12"/>
        <v>0.061397065160384935</v>
      </c>
      <c r="O100" s="1206">
        <f t="shared" si="13"/>
        <v>6020.572561091652</v>
      </c>
      <c r="P100" s="1314">
        <f t="shared" si="14"/>
        <v>6.020572561091651</v>
      </c>
      <c r="Q100" s="1201">
        <f t="shared" si="15"/>
        <v>60.20572561091652</v>
      </c>
    </row>
    <row r="101" spans="1:17" ht="15" customHeight="1">
      <c r="A101" s="1167">
        <v>31333.333333333336</v>
      </c>
      <c r="B101" s="1172">
        <v>9400</v>
      </c>
      <c r="C101" s="1224">
        <v>8.359157683355447</v>
      </c>
      <c r="D101" s="421">
        <v>212.32260403974098</v>
      </c>
      <c r="E101" s="1197">
        <v>4.10564866969478</v>
      </c>
      <c r="F101" s="1205">
        <v>0.2886749299398215</v>
      </c>
      <c r="G101" s="1206">
        <f t="shared" si="16"/>
        <v>28307.35243990362</v>
      </c>
      <c r="H101" s="1206">
        <f t="shared" si="17"/>
        <v>28.30735243990362</v>
      </c>
      <c r="I101" s="1201">
        <v>283.0735243990362</v>
      </c>
      <c r="K101" s="1224">
        <f t="shared" si="9"/>
        <v>1.7508255767787984</v>
      </c>
      <c r="L101" s="1182">
        <f t="shared" si="10"/>
        <v>44.47096941612375</v>
      </c>
      <c r="M101" s="1199">
        <f t="shared" si="11"/>
        <v>0.8599281138675716</v>
      </c>
      <c r="N101" s="1205">
        <f t="shared" si="12"/>
        <v>0.06046296407589562</v>
      </c>
      <c r="O101" s="1206">
        <f t="shared" si="13"/>
        <v>5928.974968537814</v>
      </c>
      <c r="P101" s="1314">
        <f t="shared" si="14"/>
        <v>5.928974968537814</v>
      </c>
      <c r="Q101" s="1201">
        <f t="shared" si="15"/>
        <v>59.28974968537813</v>
      </c>
    </row>
    <row r="102" spans="1:17" ht="15" customHeight="1">
      <c r="A102" s="1168">
        <v>31666.666666666668</v>
      </c>
      <c r="B102" s="1173">
        <v>9500</v>
      </c>
      <c r="C102" s="1225">
        <v>8.231611423969554</v>
      </c>
      <c r="D102" s="427">
        <v>209.0829290683902</v>
      </c>
      <c r="E102" s="1198">
        <v>4.043003586301397</v>
      </c>
      <c r="F102" s="1207">
        <v>0.2842702507978521</v>
      </c>
      <c r="G102" s="1208">
        <f t="shared" si="16"/>
        <v>27875.431299808737</v>
      </c>
      <c r="H102" s="1208">
        <f t="shared" si="17"/>
        <v>27.87543129980874</v>
      </c>
      <c r="I102" s="1202">
        <v>278.75431299808736</v>
      </c>
      <c r="K102" s="1225">
        <f t="shared" si="9"/>
        <v>1.7241110127504229</v>
      </c>
      <c r="L102" s="1184">
        <f t="shared" si="10"/>
        <v>43.792419493374325</v>
      </c>
      <c r="M102" s="1198">
        <f t="shared" si="11"/>
        <v>0.8468071011508277</v>
      </c>
      <c r="N102" s="1207">
        <f t="shared" si="12"/>
        <v>0.059540404029610125</v>
      </c>
      <c r="O102" s="1208">
        <f t="shared" si="13"/>
        <v>5838.5090857449395</v>
      </c>
      <c r="P102" s="1315">
        <f t="shared" si="14"/>
        <v>5.83850908574494</v>
      </c>
      <c r="Q102" s="1202">
        <f t="shared" si="15"/>
        <v>58.3850908574494</v>
      </c>
    </row>
    <row r="103" spans="1:17" ht="15" customHeight="1">
      <c r="A103" s="1165">
        <v>32000</v>
      </c>
      <c r="B103" s="1174">
        <v>9600</v>
      </c>
      <c r="C103" s="1223">
        <v>8.105645616707225</v>
      </c>
      <c r="D103" s="421">
        <v>205.88339758076668</v>
      </c>
      <c r="E103" s="1197">
        <v>3.981134751114404</v>
      </c>
      <c r="F103" s="1205">
        <v>0.2799201509476398</v>
      </c>
      <c r="G103" s="1206">
        <f t="shared" si="16"/>
        <v>27448.862184041034</v>
      </c>
      <c r="H103" s="1206">
        <f t="shared" si="17"/>
        <v>27.448862184041033</v>
      </c>
      <c r="I103" s="1200">
        <v>274.48862184041036</v>
      </c>
      <c r="K103" s="1226">
        <f t="shared" si="9"/>
        <v>1.6977274744193283</v>
      </c>
      <c r="L103" s="1182">
        <f t="shared" si="10"/>
        <v>43.12227762329158</v>
      </c>
      <c r="M103" s="1199">
        <f t="shared" si="11"/>
        <v>0.8338486736209119</v>
      </c>
      <c r="N103" s="1205">
        <f t="shared" si="12"/>
        <v>0.05862927561598315</v>
      </c>
      <c r="O103" s="1206">
        <f t="shared" si="13"/>
        <v>5749.164184447394</v>
      </c>
      <c r="P103" s="1314">
        <f t="shared" si="14"/>
        <v>5.749164184447395</v>
      </c>
      <c r="Q103" s="1201">
        <f t="shared" si="15"/>
        <v>57.491641844473946</v>
      </c>
    </row>
    <row r="104" spans="1:17" ht="15" customHeight="1">
      <c r="A104" s="1166">
        <v>32333.333333333336</v>
      </c>
      <c r="B104" s="1172">
        <v>9700</v>
      </c>
      <c r="C104" s="1224">
        <v>7.981245235612576</v>
      </c>
      <c r="D104" s="421">
        <v>202.72362791759298</v>
      </c>
      <c r="E104" s="1197">
        <v>3.9200347840486134</v>
      </c>
      <c r="F104" s="1205">
        <v>0.2756241114832222</v>
      </c>
      <c r="G104" s="1206">
        <f t="shared" si="16"/>
        <v>27027.59420888172</v>
      </c>
      <c r="H104" s="1206">
        <f t="shared" si="17"/>
        <v>27.02759420888172</v>
      </c>
      <c r="I104" s="1201">
        <v>270.2759420888172</v>
      </c>
      <c r="K104" s="1224">
        <f t="shared" si="9"/>
        <v>1.6716718145990541</v>
      </c>
      <c r="L104" s="1182">
        <f t="shared" si="10"/>
        <v>42.46046386733985</v>
      </c>
      <c r="M104" s="1199">
        <f t="shared" si="11"/>
        <v>0.8210512855189821</v>
      </c>
      <c r="N104" s="1205">
        <f t="shared" si="12"/>
        <v>0.05772947015016089</v>
      </c>
      <c r="O104" s="1206">
        <f t="shared" si="13"/>
        <v>5660.929607050276</v>
      </c>
      <c r="P104" s="1314">
        <f t="shared" si="14"/>
        <v>5.660929607050276</v>
      </c>
      <c r="Q104" s="1201">
        <f t="shared" si="15"/>
        <v>56.609296070502765</v>
      </c>
    </row>
    <row r="105" spans="1:17" ht="15" customHeight="1">
      <c r="A105" s="1166">
        <v>32666.666666666668</v>
      </c>
      <c r="B105" s="1172">
        <v>9800</v>
      </c>
      <c r="C105" s="1224">
        <v>7.8583953540006934</v>
      </c>
      <c r="D105" s="421">
        <v>199.60324094107426</v>
      </c>
      <c r="E105" s="1197">
        <v>3.8596963537763513</v>
      </c>
      <c r="F105" s="1205">
        <v>0.27138161692685797</v>
      </c>
      <c r="G105" s="1206">
        <f t="shared" si="16"/>
        <v>26611.57682678204</v>
      </c>
      <c r="H105" s="1206">
        <f t="shared" si="17"/>
        <v>26.611576826782038</v>
      </c>
      <c r="I105" s="1201">
        <v>266.1157682678204</v>
      </c>
      <c r="K105" s="1224">
        <f t="shared" si="9"/>
        <v>1.6459409068954451</v>
      </c>
      <c r="L105" s="1182">
        <f t="shared" si="10"/>
        <v>41.806898815108006</v>
      </c>
      <c r="M105" s="1199">
        <f t="shared" si="11"/>
        <v>0.8084134012984567</v>
      </c>
      <c r="N105" s="1205">
        <f t="shared" si="12"/>
        <v>0.0568408796653304</v>
      </c>
      <c r="O105" s="1206">
        <f t="shared" si="13"/>
        <v>5573.794766369498</v>
      </c>
      <c r="P105" s="1314">
        <f t="shared" si="14"/>
        <v>5.573794766369498</v>
      </c>
      <c r="Q105" s="1201">
        <f t="shared" si="15"/>
        <v>55.73794766369498</v>
      </c>
    </row>
    <row r="106" spans="1:17" ht="15" customHeight="1">
      <c r="A106" s="1167">
        <v>33000</v>
      </c>
      <c r="B106" s="1172">
        <v>9900</v>
      </c>
      <c r="C106" s="1224">
        <v>7.737081144091431</v>
      </c>
      <c r="D106" s="421">
        <v>196.5218600255968</v>
      </c>
      <c r="E106" s="1197">
        <v>3.800112177547592</v>
      </c>
      <c r="F106" s="1205">
        <v>0.2671921552163805</v>
      </c>
      <c r="G106" s="1206">
        <f t="shared" si="16"/>
        <v>26200.75982512315</v>
      </c>
      <c r="H106" s="1206">
        <f t="shared" si="17"/>
        <v>26.20075982512315</v>
      </c>
      <c r="I106" s="1201">
        <v>262.0075982512315</v>
      </c>
      <c r="K106" s="1224">
        <f t="shared" si="9"/>
        <v>1.6205316456299503</v>
      </c>
      <c r="L106" s="1182">
        <f t="shared" si="10"/>
        <v>41.16150358236125</v>
      </c>
      <c r="M106" s="1199">
        <f t="shared" si="11"/>
        <v>0.7959334955873432</v>
      </c>
      <c r="N106" s="1205">
        <f t="shared" si="12"/>
        <v>0.0559633969100709</v>
      </c>
      <c r="O106" s="1206">
        <f t="shared" si="13"/>
        <v>5487.749145372044</v>
      </c>
      <c r="P106" s="1314">
        <f t="shared" si="14"/>
        <v>5.487749145372043</v>
      </c>
      <c r="Q106" s="1201">
        <f t="shared" si="15"/>
        <v>54.87749145372044</v>
      </c>
    </row>
    <row r="107" spans="1:17" ht="15" customHeight="1">
      <c r="A107" s="1168">
        <v>33333.333333333336</v>
      </c>
      <c r="B107" s="1173">
        <v>10000</v>
      </c>
      <c r="C107" s="1225">
        <v>7.617287876643469</v>
      </c>
      <c r="D107" s="427">
        <v>193.47911104843303</v>
      </c>
      <c r="E107" s="1198">
        <v>3.7412750210102255</v>
      </c>
      <c r="F107" s="1207">
        <v>0.26305521769256035</v>
      </c>
      <c r="G107" s="1208">
        <f t="shared" si="16"/>
        <v>25795.093324976944</v>
      </c>
      <c r="H107" s="1208">
        <f t="shared" si="17"/>
        <v>25.795093324976943</v>
      </c>
      <c r="I107" s="1202">
        <v>257.95093324976943</v>
      </c>
      <c r="K107" s="1225">
        <f t="shared" si="9"/>
        <v>1.5954409457629746</v>
      </c>
      <c r="L107" s="1184">
        <f t="shared" si="10"/>
        <v>40.5241998090943</v>
      </c>
      <c r="M107" s="1198">
        <f t="shared" si="11"/>
        <v>0.7836100531505917</v>
      </c>
      <c r="N107" s="1207">
        <f t="shared" si="12"/>
        <v>0.055096915345706765</v>
      </c>
      <c r="O107" s="1208">
        <f t="shared" si="13"/>
        <v>5402.782296916421</v>
      </c>
      <c r="P107" s="1315">
        <f t="shared" si="14"/>
        <v>5.4027822969164205</v>
      </c>
      <c r="Q107" s="1202">
        <f t="shared" si="15"/>
        <v>54.027822969164205</v>
      </c>
    </row>
    <row r="108" spans="1:17" ht="15" customHeight="1">
      <c r="A108" s="1165">
        <v>33666.66666666667</v>
      </c>
      <c r="B108" s="1174">
        <v>10100</v>
      </c>
      <c r="C108" s="1223">
        <v>7.499000920588744</v>
      </c>
      <c r="D108" s="421">
        <v>190.47462238045608</v>
      </c>
      <c r="E108" s="1197">
        <v>3.6831776980305033</v>
      </c>
      <c r="F108" s="1205">
        <v>0.25897029908648067</v>
      </c>
      <c r="G108" s="1206">
        <f t="shared" si="16"/>
        <v>25394.527779868044</v>
      </c>
      <c r="H108" s="1206">
        <f t="shared" si="17"/>
        <v>25.394527779868042</v>
      </c>
      <c r="I108" s="1200">
        <v>253.94527779868042</v>
      </c>
      <c r="K108" s="1226">
        <f t="shared" si="9"/>
        <v>1.5706657428173123</v>
      </c>
      <c r="L108" s="1182">
        <f t="shared" si="10"/>
        <v>39.894909657586524</v>
      </c>
      <c r="M108" s="1199">
        <f t="shared" si="11"/>
        <v>0.7714415688524889</v>
      </c>
      <c r="N108" s="1205">
        <f t="shared" si="12"/>
        <v>0.05424132914366338</v>
      </c>
      <c r="O108" s="1206">
        <f t="shared" si="13"/>
        <v>5318.883843493361</v>
      </c>
      <c r="P108" s="1314">
        <f t="shared" si="14"/>
        <v>5.318883843493361</v>
      </c>
      <c r="Q108" s="1201">
        <f t="shared" si="15"/>
        <v>53.188838434933615</v>
      </c>
    </row>
    <row r="109" spans="1:17" ht="15" customHeight="1">
      <c r="A109" s="1166">
        <v>34000</v>
      </c>
      <c r="B109" s="1172">
        <v>10200</v>
      </c>
      <c r="C109" s="1224">
        <v>7.382205742667003</v>
      </c>
      <c r="D109" s="421">
        <v>187.50802487685755</v>
      </c>
      <c r="E109" s="1197">
        <v>3.6258130705135505</v>
      </c>
      <c r="F109" s="1205">
        <v>0.254936897506917</v>
      </c>
      <c r="G109" s="1206">
        <f t="shared" si="16"/>
        <v>24999.013974536305</v>
      </c>
      <c r="H109" s="1206">
        <f t="shared" si="17"/>
        <v>24.999013974536304</v>
      </c>
      <c r="I109" s="1201">
        <v>249.99013974536305</v>
      </c>
      <c r="K109" s="1224">
        <f t="shared" si="9"/>
        <v>1.546202992801604</v>
      </c>
      <c r="L109" s="1182">
        <f t="shared" si="10"/>
        <v>39.273555810457815</v>
      </c>
      <c r="M109" s="1199">
        <f t="shared" si="11"/>
        <v>0.7594265476190631</v>
      </c>
      <c r="N109" s="1205">
        <f t="shared" si="12"/>
        <v>0.053396533182823766</v>
      </c>
      <c r="O109" s="1206">
        <f t="shared" si="13"/>
        <v>5236.043476966629</v>
      </c>
      <c r="P109" s="1314">
        <f t="shared" si="14"/>
        <v>5.236043476966628</v>
      </c>
      <c r="Q109" s="1201">
        <f t="shared" si="15"/>
        <v>52.36043476966629</v>
      </c>
    </row>
    <row r="110" spans="1:17" ht="15" customHeight="1">
      <c r="A110" s="1166">
        <v>34333.333333333336</v>
      </c>
      <c r="B110" s="1172">
        <v>10300</v>
      </c>
      <c r="C110" s="1224">
        <v>7.266887907060781</v>
      </c>
      <c r="D110" s="421">
        <v>184.57895186787567</v>
      </c>
      <c r="E110" s="1197">
        <v>3.5691740482240797</v>
      </c>
      <c r="F110" s="1205">
        <v>0.25095451442773153</v>
      </c>
      <c r="G110" s="1206">
        <f t="shared" si="16"/>
        <v>24608.50302370066</v>
      </c>
      <c r="H110" s="1206">
        <f t="shared" si="17"/>
        <v>24.60850302370066</v>
      </c>
      <c r="I110" s="1201">
        <v>246.0850302370066</v>
      </c>
      <c r="K110" s="1224">
        <f t="shared" si="9"/>
        <v>1.5220496721338805</v>
      </c>
      <c r="L110" s="1182">
        <f t="shared" si="10"/>
        <v>38.66006146872656</v>
      </c>
      <c r="M110" s="1199">
        <f t="shared" si="11"/>
        <v>0.7475635044005334</v>
      </c>
      <c r="N110" s="1205">
        <f t="shared" si="12"/>
        <v>0.05256242304688837</v>
      </c>
      <c r="O110" s="1206">
        <f t="shared" si="13"/>
        <v>5154.250958314104</v>
      </c>
      <c r="P110" s="1314">
        <f t="shared" si="14"/>
        <v>5.154250958314103</v>
      </c>
      <c r="Q110" s="1201">
        <f t="shared" si="15"/>
        <v>51.54250958314103</v>
      </c>
    </row>
    <row r="111" spans="1:17" ht="15" customHeight="1">
      <c r="A111" s="1167">
        <v>34666.66666666667</v>
      </c>
      <c r="B111" s="1172">
        <v>10400</v>
      </c>
      <c r="C111" s="1224">
        <v>7.153033075030556</v>
      </c>
      <c r="D111" s="421">
        <v>181.68703914952854</v>
      </c>
      <c r="E111" s="1197">
        <v>3.513253588607199</v>
      </c>
      <c r="F111" s="1205">
        <v>0.2470226546752735</v>
      </c>
      <c r="G111" s="1206">
        <f t="shared" si="16"/>
        <v>24222.946370823658</v>
      </c>
      <c r="H111" s="1206">
        <f t="shared" si="17"/>
        <v>24.222946370823657</v>
      </c>
      <c r="I111" s="1201">
        <v>242.22946370823658</v>
      </c>
      <c r="K111" s="1224">
        <f t="shared" si="9"/>
        <v>1.4982027775651499</v>
      </c>
      <c r="L111" s="1182">
        <f t="shared" si="10"/>
        <v>38.054350349868756</v>
      </c>
      <c r="M111" s="1199">
        <f t="shared" si="11"/>
        <v>0.7358509641337778</v>
      </c>
      <c r="N111" s="1205">
        <f t="shared" si="12"/>
        <v>0.05173889502173604</v>
      </c>
      <c r="O111" s="1206">
        <f t="shared" si="13"/>
        <v>5073.496117369015</v>
      </c>
      <c r="P111" s="1314">
        <f t="shared" si="14"/>
        <v>5.0734961173690145</v>
      </c>
      <c r="Q111" s="1201">
        <f t="shared" si="15"/>
        <v>50.73496117369015</v>
      </c>
    </row>
    <row r="112" spans="1:17" ht="15" customHeight="1">
      <c r="A112" s="1168">
        <v>35000</v>
      </c>
      <c r="B112" s="1173">
        <v>10500</v>
      </c>
      <c r="C112" s="1225">
        <v>7.040627004550249</v>
      </c>
      <c r="D112" s="427">
        <v>178.83192497435567</v>
      </c>
      <c r="E112" s="1198">
        <v>3.4580446966093827</v>
      </c>
      <c r="F112" s="1207">
        <v>0.24314082641579177</v>
      </c>
      <c r="G112" s="1208">
        <f t="shared" si="16"/>
        <v>23842.29578687709</v>
      </c>
      <c r="H112" s="1208">
        <f t="shared" si="17"/>
        <v>23.84229578687709</v>
      </c>
      <c r="I112" s="1202">
        <v>238.4229578687709</v>
      </c>
      <c r="K112" s="1225">
        <f t="shared" si="9"/>
        <v>1.4746593261030496</v>
      </c>
      <c r="L112" s="1184">
        <f t="shared" si="10"/>
        <v>37.45634668587879</v>
      </c>
      <c r="M112" s="1198">
        <f t="shared" si="11"/>
        <v>0.7242874617048352</v>
      </c>
      <c r="N112" s="1207">
        <f t="shared" si="12"/>
        <v>0.05092584609278759</v>
      </c>
      <c r="O112" s="1208">
        <f t="shared" si="13"/>
        <v>4993.768852561407</v>
      </c>
      <c r="P112" s="1315">
        <f t="shared" si="14"/>
        <v>4.993768852561407</v>
      </c>
      <c r="Q112" s="1202">
        <f t="shared" si="15"/>
        <v>49.937688525614064</v>
      </c>
    </row>
    <row r="113" spans="1:17" ht="15" customHeight="1">
      <c r="A113" s="1165">
        <v>35333.333333333336</v>
      </c>
      <c r="B113" s="1174">
        <v>10600</v>
      </c>
      <c r="C113" s="1223">
        <v>6.929655549942953</v>
      </c>
      <c r="D113" s="421">
        <v>176.01325004216548</v>
      </c>
      <c r="E113" s="1197">
        <v>3.4035404244995577</v>
      </c>
      <c r="F113" s="1205">
        <v>0.23930854114285477</v>
      </c>
      <c r="G113" s="1206">
        <f t="shared" si="16"/>
        <v>23466.503369108446</v>
      </c>
      <c r="H113" s="1206">
        <f t="shared" si="17"/>
        <v>23.466503369108445</v>
      </c>
      <c r="I113" s="1200">
        <v>234.66503369108446</v>
      </c>
      <c r="K113" s="1226">
        <f t="shared" si="9"/>
        <v>1.4514163549355514</v>
      </c>
      <c r="L113" s="1182">
        <f t="shared" si="10"/>
        <v>36.86597522133156</v>
      </c>
      <c r="M113" s="1199">
        <f t="shared" si="11"/>
        <v>0.7128715419114323</v>
      </c>
      <c r="N113" s="1205">
        <f t="shared" si="12"/>
        <v>0.05012317394237093</v>
      </c>
      <c r="O113" s="1206">
        <f t="shared" si="13"/>
        <v>4915.059130659764</v>
      </c>
      <c r="P113" s="1314">
        <f t="shared" si="14"/>
        <v>4.915059130659763</v>
      </c>
      <c r="Q113" s="1201">
        <f t="shared" si="15"/>
        <v>49.15059130659764</v>
      </c>
    </row>
    <row r="114" spans="1:17" ht="15" customHeight="1">
      <c r="A114" s="1166">
        <v>35666.66666666667</v>
      </c>
      <c r="B114" s="1172">
        <v>10700</v>
      </c>
      <c r="C114" s="1224">
        <v>6.820104661516985</v>
      </c>
      <c r="D114" s="421">
        <v>173.23065749079112</v>
      </c>
      <c r="E114" s="1197">
        <v>3.34973387169035</v>
      </c>
      <c r="F114" s="1205">
        <v>0.23552531366478222</v>
      </c>
      <c r="G114" s="1206">
        <f t="shared" si="16"/>
        <v>23095.521539808437</v>
      </c>
      <c r="H114" s="1206">
        <f t="shared" si="17"/>
        <v>23.095521539808438</v>
      </c>
      <c r="I114" s="1201">
        <v>230.95521539808436</v>
      </c>
      <c r="K114" s="1224">
        <f t="shared" si="9"/>
        <v>1.4284709213547324</v>
      </c>
      <c r="L114" s="1182">
        <f t="shared" si="10"/>
        <v>36.2831612114462</v>
      </c>
      <c r="M114" s="1199">
        <f t="shared" si="11"/>
        <v>0.7016017594255438</v>
      </c>
      <c r="N114" s="1205">
        <f t="shared" si="12"/>
        <v>0.049330776947088636</v>
      </c>
      <c r="O114" s="1206">
        <f t="shared" si="13"/>
        <v>4837.356986512877</v>
      </c>
      <c r="P114" s="1314">
        <f t="shared" si="14"/>
        <v>4.837356986512877</v>
      </c>
      <c r="Q114" s="1201">
        <f t="shared" si="15"/>
        <v>48.37356986512877</v>
      </c>
    </row>
    <row r="115" spans="1:17" ht="15" customHeight="1">
      <c r="A115" s="1166">
        <v>36000</v>
      </c>
      <c r="B115" s="1172">
        <v>10800</v>
      </c>
      <c r="C115" s="1224">
        <v>6.711960385202199</v>
      </c>
      <c r="D115" s="421">
        <v>170.48379288685277</v>
      </c>
      <c r="E115" s="1197">
        <v>3.2966181845594575</v>
      </c>
      <c r="F115" s="1205">
        <v>0.2317906620920855</v>
      </c>
      <c r="G115" s="1206">
        <f t="shared" si="16"/>
        <v>22729.303045079418</v>
      </c>
      <c r="H115" s="1206">
        <f t="shared" si="17"/>
        <v>22.72930304507942</v>
      </c>
      <c r="I115" s="1201">
        <v>227.29303045079416</v>
      </c>
      <c r="K115" s="1224">
        <f t="shared" si="9"/>
        <v>1.4058201026806005</v>
      </c>
      <c r="L115" s="1182">
        <f t="shared" si="10"/>
        <v>35.70783042015131</v>
      </c>
      <c r="M115" s="1199">
        <f t="shared" si="11"/>
        <v>0.6904766787559784</v>
      </c>
      <c r="N115" s="1205">
        <f t="shared" si="12"/>
        <v>0.0485485541751873</v>
      </c>
      <c r="O115" s="1206">
        <f t="shared" si="13"/>
        <v>4760.652522791884</v>
      </c>
      <c r="P115" s="1314">
        <f t="shared" si="14"/>
        <v>4.760652522791884</v>
      </c>
      <c r="Q115" s="1201">
        <f t="shared" si="15"/>
        <v>47.60652522791884</v>
      </c>
    </row>
    <row r="116" spans="1:17" ht="15" customHeight="1">
      <c r="A116" s="1167">
        <v>36333.333333333336</v>
      </c>
      <c r="B116" s="1172">
        <v>10900</v>
      </c>
      <c r="C116" s="1224">
        <v>6.6052193683694</v>
      </c>
      <c r="D116" s="421">
        <v>167.77257107356922</v>
      </c>
      <c r="E116" s="1197">
        <v>3.244191716443649</v>
      </c>
      <c r="F116" s="1205">
        <v>0.2281044706451567</v>
      </c>
      <c r="G116" s="1206">
        <f t="shared" si="16"/>
        <v>22367.836531617635</v>
      </c>
      <c r="H116" s="1206">
        <f t="shared" si="17"/>
        <v>22.367836531617634</v>
      </c>
      <c r="I116" s="1201">
        <v>223.67836531617635</v>
      </c>
      <c r="K116" s="1224">
        <f t="shared" si="9"/>
        <v>1.3834631967049709</v>
      </c>
      <c r="L116" s="1182">
        <f t="shared" si="10"/>
        <v>35.139965011359074</v>
      </c>
      <c r="M116" s="1199">
        <f t="shared" si="11"/>
        <v>0.6794959550091223</v>
      </c>
      <c r="N116" s="1205">
        <f t="shared" si="12"/>
        <v>0.04777648137662807</v>
      </c>
      <c r="O116" s="1206">
        <f t="shared" si="13"/>
        <v>4684.9433615473135</v>
      </c>
      <c r="P116" s="1314">
        <f t="shared" si="14"/>
        <v>4.6849433615473135</v>
      </c>
      <c r="Q116" s="1201">
        <f t="shared" si="15"/>
        <v>46.84943361547314</v>
      </c>
    </row>
    <row r="117" spans="1:17" ht="15" customHeight="1">
      <c r="A117" s="1168">
        <v>36666.66666666667</v>
      </c>
      <c r="B117" s="1173">
        <v>11000</v>
      </c>
      <c r="C117" s="1225">
        <v>6.500239396456407</v>
      </c>
      <c r="D117" s="427">
        <v>165.10607980101338</v>
      </c>
      <c r="E117" s="1198">
        <v>3.1926301957311742</v>
      </c>
      <c r="F117" s="1207">
        <v>0.22447909507682517</v>
      </c>
      <c r="G117" s="1208">
        <f t="shared" si="16"/>
        <v>22012.333599786423</v>
      </c>
      <c r="H117" s="1208">
        <f t="shared" si="17"/>
        <v>22.012333599786423</v>
      </c>
      <c r="I117" s="1202">
        <v>220.12333599786422</v>
      </c>
      <c r="K117" s="1225">
        <f t="shared" si="9"/>
        <v>1.3614751415877944</v>
      </c>
      <c r="L117" s="1184">
        <f t="shared" si="10"/>
        <v>34.58146841432225</v>
      </c>
      <c r="M117" s="1198">
        <f t="shared" si="11"/>
        <v>0.6686963944958945</v>
      </c>
      <c r="N117" s="1207">
        <f t="shared" si="12"/>
        <v>0.04701714646384103</v>
      </c>
      <c r="O117" s="1208">
        <f t="shared" si="13"/>
        <v>4610.483272475266</v>
      </c>
      <c r="P117" s="1315">
        <f t="shared" si="14"/>
        <v>4.610483272475267</v>
      </c>
      <c r="Q117" s="1202">
        <f t="shared" si="15"/>
        <v>46.10483272475266</v>
      </c>
    </row>
    <row r="118" spans="1:17" ht="15" customHeight="1">
      <c r="A118" s="1165">
        <v>37000</v>
      </c>
      <c r="B118" s="1174">
        <v>11100</v>
      </c>
      <c r="C118" s="1223">
        <v>6.39692792242187</v>
      </c>
      <c r="D118" s="421">
        <v>162.48196837434725</v>
      </c>
      <c r="E118" s="1197">
        <v>3.1418881674071146</v>
      </c>
      <c r="F118" s="1205">
        <v>0.22091133937001717</v>
      </c>
      <c r="G118" s="1206">
        <f t="shared" si="16"/>
        <v>21662.480849382548</v>
      </c>
      <c r="H118" s="1206">
        <f t="shared" si="17"/>
        <v>21.662480849382547</v>
      </c>
      <c r="I118" s="1200">
        <v>216.62480849382547</v>
      </c>
      <c r="K118" s="1226">
        <f t="shared" si="9"/>
        <v>1.3398365533512606</v>
      </c>
      <c r="L118" s="1182">
        <f t="shared" si="10"/>
        <v>34.03184827600703</v>
      </c>
      <c r="M118" s="1199">
        <f t="shared" si="11"/>
        <v>0.6580684766634202</v>
      </c>
      <c r="N118" s="1205">
        <f t="shared" si="12"/>
        <v>0.04626988003105009</v>
      </c>
      <c r="O118" s="1206">
        <f t="shared" si="13"/>
        <v>4537.206613903175</v>
      </c>
      <c r="P118" s="1314">
        <f t="shared" si="14"/>
        <v>4.537206613903175</v>
      </c>
      <c r="Q118" s="1201">
        <f t="shared" si="15"/>
        <v>45.372066139031745</v>
      </c>
    </row>
    <row r="119" spans="1:18" ht="15" customHeight="1">
      <c r="A119" s="1260">
        <v>37333.333333333336</v>
      </c>
      <c r="B119" s="1261">
        <v>11200</v>
      </c>
      <c r="C119" s="1252">
        <v>6.295258428015498</v>
      </c>
      <c r="D119" s="1253">
        <v>159.899563230017</v>
      </c>
      <c r="E119" s="1254">
        <v>3.0919526068793814</v>
      </c>
      <c r="F119" s="1255">
        <v>0.21740028774417974</v>
      </c>
      <c r="G119" s="1256">
        <f t="shared" si="16"/>
        <v>21318.18847931773</v>
      </c>
      <c r="H119" s="1256">
        <f t="shared" si="17"/>
        <v>21.31818847931773</v>
      </c>
      <c r="I119" s="1257">
        <v>213.1818847931773</v>
      </c>
      <c r="K119" s="1252">
        <f t="shared" si="9"/>
        <v>1.3185418777478461</v>
      </c>
      <c r="L119" s="1258">
        <f t="shared" si="10"/>
        <v>33.49096351852706</v>
      </c>
      <c r="M119" s="1254">
        <f t="shared" si="11"/>
        <v>0.6476094735108865</v>
      </c>
      <c r="N119" s="1255">
        <f t="shared" si="12"/>
        <v>0.045534490268018445</v>
      </c>
      <c r="O119" s="1256">
        <f t="shared" si="13"/>
        <v>4465.094576993099</v>
      </c>
      <c r="P119" s="1316">
        <f t="shared" si="14"/>
        <v>4.465094576993098</v>
      </c>
      <c r="Q119" s="1257">
        <f t="shared" si="15"/>
        <v>44.650945769930985</v>
      </c>
      <c r="R119" s="1259"/>
    </row>
    <row r="120" spans="1:18" ht="15" customHeight="1">
      <c r="A120" s="1165">
        <v>37666.66666666667</v>
      </c>
      <c r="B120" s="1174">
        <v>11300</v>
      </c>
      <c r="C120" s="1224">
        <v>6.195204816454487</v>
      </c>
      <c r="D120" s="421">
        <v>157.3582015097429</v>
      </c>
      <c r="E120" s="1197">
        <v>3.042810696562081</v>
      </c>
      <c r="F120" s="1205">
        <v>0.21394503897370706</v>
      </c>
      <c r="G120" s="1206">
        <f t="shared" si="16"/>
        <v>20979.368115756184</v>
      </c>
      <c r="H120" s="1206">
        <f t="shared" si="17"/>
        <v>20.979368115756184</v>
      </c>
      <c r="I120" s="1201">
        <v>209.79368115756185</v>
      </c>
      <c r="K120" s="1224">
        <f t="shared" si="9"/>
        <v>1.2975856488063922</v>
      </c>
      <c r="L120" s="1182">
        <f t="shared" si="10"/>
        <v>32.95867530621565</v>
      </c>
      <c r="M120" s="1199">
        <f t="shared" si="11"/>
        <v>0.6373167003949279</v>
      </c>
      <c r="N120" s="1205">
        <f t="shared" si="12"/>
        <v>0.044810788413042944</v>
      </c>
      <c r="O120" s="1206">
        <f t="shared" si="13"/>
        <v>4394.1286518451325</v>
      </c>
      <c r="P120" s="1314">
        <f t="shared" si="14"/>
        <v>4.394128651845133</v>
      </c>
      <c r="Q120" s="1201">
        <f t="shared" si="15"/>
        <v>43.94128651845133</v>
      </c>
      <c r="R120" s="1192" t="s">
        <v>414</v>
      </c>
    </row>
    <row r="121" spans="1:18" ht="15" customHeight="1">
      <c r="A121" s="1167">
        <v>38000</v>
      </c>
      <c r="B121" s="1172">
        <v>11400</v>
      </c>
      <c r="C121" s="1224">
        <v>6.096741405724924</v>
      </c>
      <c r="D121" s="421">
        <v>154.857230890375</v>
      </c>
      <c r="E121" s="1197">
        <v>2.994449822585462</v>
      </c>
      <c r="F121" s="1205">
        <v>0.2105447061566112</v>
      </c>
      <c r="G121" s="1206">
        <f t="shared" si="16"/>
        <v>20645.93278943059</v>
      </c>
      <c r="H121" s="1206">
        <f t="shared" si="17"/>
        <v>20.64593278943059</v>
      </c>
      <c r="I121" s="1201">
        <v>206.4593278943059</v>
      </c>
      <c r="K121" s="1224">
        <f t="shared" si="9"/>
        <v>1.2769624874290852</v>
      </c>
      <c r="L121" s="1182">
        <f t="shared" si="10"/>
        <v>32.43484700998904</v>
      </c>
      <c r="M121" s="1199">
        <f t="shared" si="11"/>
        <v>0.627187515340525</v>
      </c>
      <c r="N121" s="1205">
        <f t="shared" si="12"/>
        <v>0.044098588704502215</v>
      </c>
      <c r="O121" s="1206">
        <f t="shared" si="13"/>
        <v>4324.290622746237</v>
      </c>
      <c r="P121" s="1314">
        <f t="shared" si="14"/>
        <v>4.324290622746236</v>
      </c>
      <c r="Q121" s="1201">
        <f t="shared" si="15"/>
        <v>43.24290622746237</v>
      </c>
      <c r="R121" s="1193" t="s">
        <v>413</v>
      </c>
    </row>
    <row r="122" spans="1:18" ht="15" customHeight="1">
      <c r="A122" s="1168">
        <v>38333.333333333336</v>
      </c>
      <c r="B122" s="1173">
        <v>11500</v>
      </c>
      <c r="C122" s="1225">
        <v>5.999842921989661</v>
      </c>
      <c r="D122" s="427">
        <v>152.39600941645313</v>
      </c>
      <c r="E122" s="1198">
        <v>2.9468575715581515</v>
      </c>
      <c r="F122" s="1207">
        <v>0.2071984164868698</v>
      </c>
      <c r="G122" s="1208">
        <f t="shared" si="16"/>
        <v>20317.796913318572</v>
      </c>
      <c r="H122" s="1208">
        <f t="shared" si="17"/>
        <v>20.317796913318574</v>
      </c>
      <c r="I122" s="1202">
        <v>203.1779691331857</v>
      </c>
      <c r="K122" s="1225">
        <f t="shared" si="9"/>
        <v>1.2566671000107343</v>
      </c>
      <c r="L122" s="1184">
        <f t="shared" si="10"/>
        <v>31.919344172276105</v>
      </c>
      <c r="M122" s="1198">
        <f t="shared" si="11"/>
        <v>0.6172193183628548</v>
      </c>
      <c r="N122" s="1207">
        <f t="shared" si="12"/>
        <v>0.04339770833317488</v>
      </c>
      <c r="O122" s="1208">
        <f t="shared" si="13"/>
        <v>4255.5625634945745</v>
      </c>
      <c r="P122" s="1315">
        <f t="shared" si="14"/>
        <v>4.255562563494575</v>
      </c>
      <c r="Q122" s="1202">
        <f t="shared" si="15"/>
        <v>42.55562563494575</v>
      </c>
      <c r="R122" s="1193" t="s">
        <v>413</v>
      </c>
    </row>
    <row r="123" spans="1:18" ht="15" customHeight="1">
      <c r="A123" s="1165">
        <v>38666.66666666667</v>
      </c>
      <c r="B123" s="1174">
        <v>11600</v>
      </c>
      <c r="C123" s="1223">
        <v>5.904484493100971</v>
      </c>
      <c r="D123" s="421">
        <v>149.97390533542833</v>
      </c>
      <c r="E123" s="1197">
        <v>2.900021727380861</v>
      </c>
      <c r="F123" s="1205">
        <v>0.20390531103039225</v>
      </c>
      <c r="G123" s="1206">
        <f t="shared" si="16"/>
        <v>19994.876260674046</v>
      </c>
      <c r="H123" s="1206">
        <f t="shared" si="17"/>
        <v>19.994876260674047</v>
      </c>
      <c r="I123" s="1200">
        <v>199.94876260674044</v>
      </c>
      <c r="K123" s="1226">
        <f t="shared" si="9"/>
        <v>1.2366942770799982</v>
      </c>
      <c r="L123" s="1182">
        <f t="shared" si="10"/>
        <v>31.412034472505464</v>
      </c>
      <c r="M123" s="1199">
        <f t="shared" si="11"/>
        <v>0.6074095507999213</v>
      </c>
      <c r="N123" s="1205">
        <f t="shared" si="12"/>
        <v>0.042707967395315655</v>
      </c>
      <c r="O123" s="1206">
        <f t="shared" si="13"/>
        <v>4187.926832798179</v>
      </c>
      <c r="P123" s="1314">
        <f t="shared" si="14"/>
        <v>4.187926832798179</v>
      </c>
      <c r="Q123" s="1201">
        <f t="shared" si="15"/>
        <v>41.879268327981784</v>
      </c>
      <c r="R123" s="1193" t="s">
        <v>413</v>
      </c>
    </row>
    <row r="124" spans="1:17" ht="15" customHeight="1">
      <c r="A124" s="1166">
        <v>39000</v>
      </c>
      <c r="B124" s="1172">
        <v>11700</v>
      </c>
      <c r="C124" s="1224">
        <v>5.810641642216299</v>
      </c>
      <c r="D124" s="421">
        <v>147.59029693550298</v>
      </c>
      <c r="E124" s="1197">
        <v>2.8539302681107257</v>
      </c>
      <c r="F124" s="1205">
        <v>0.20066454450454635</v>
      </c>
      <c r="G124" s="1206">
        <f t="shared" si="16"/>
        <v>19677.08794340768</v>
      </c>
      <c r="H124" s="1206">
        <f t="shared" si="17"/>
        <v>19.67708794340768</v>
      </c>
      <c r="I124" s="1201">
        <v>196.77087943407682</v>
      </c>
      <c r="K124" s="1224">
        <f t="shared" si="9"/>
        <v>1.217038891962204</v>
      </c>
      <c r="L124" s="1182">
        <f t="shared" si="10"/>
        <v>30.912787693141098</v>
      </c>
      <c r="M124" s="1199">
        <f t="shared" si="11"/>
        <v>0.5977556946557915</v>
      </c>
      <c r="N124" s="1205">
        <f t="shared" si="12"/>
        <v>0.04202918884647723</v>
      </c>
      <c r="O124" s="1206">
        <f t="shared" si="13"/>
        <v>4121.3660697467385</v>
      </c>
      <c r="P124" s="1314">
        <f t="shared" si="14"/>
        <v>4.121366069746739</v>
      </c>
      <c r="Q124" s="1201">
        <f t="shared" si="15"/>
        <v>41.21366069746739</v>
      </c>
    </row>
    <row r="125" spans="1:17" ht="15" customHeight="1">
      <c r="A125" s="1166">
        <v>39333.333333333336</v>
      </c>
      <c r="B125" s="1172">
        <v>11800</v>
      </c>
      <c r="C125" s="1224">
        <v>5.718290281515478</v>
      </c>
      <c r="D125" s="421">
        <v>145.24457238604805</v>
      </c>
      <c r="E125" s="1197">
        <v>2.808571362875476</v>
      </c>
      <c r="F125" s="1205">
        <v>0.19747528506118875</v>
      </c>
      <c r="G125" s="1206">
        <f t="shared" si="16"/>
        <v>19364.350390810945</v>
      </c>
      <c r="H125" s="1206">
        <f t="shared" si="17"/>
        <v>19.364350390810944</v>
      </c>
      <c r="I125" s="1201">
        <v>193.64350390810944</v>
      </c>
      <c r="K125" s="1224">
        <f t="shared" si="9"/>
        <v>1.1976958994634168</v>
      </c>
      <c r="L125" s="1182">
        <f t="shared" si="10"/>
        <v>30.421475686257764</v>
      </c>
      <c r="M125" s="1199">
        <f t="shared" si="11"/>
        <v>0.5882552719542684</v>
      </c>
      <c r="N125" s="1205">
        <f t="shared" si="12"/>
        <v>0.041361198456065985</v>
      </c>
      <c r="O125" s="1206">
        <f t="shared" si="13"/>
        <v>4055.8631893553525</v>
      </c>
      <c r="P125" s="1314">
        <f t="shared" si="14"/>
        <v>4.055863189355352</v>
      </c>
      <c r="Q125" s="1201">
        <f t="shared" si="15"/>
        <v>40.558631893553525</v>
      </c>
    </row>
    <row r="126" spans="1:17" ht="15" customHeight="1">
      <c r="A126" s="1167">
        <v>39666.66666666667</v>
      </c>
      <c r="B126" s="1172">
        <v>11900</v>
      </c>
      <c r="C126" s="1224">
        <v>5.627406706017813</v>
      </c>
      <c r="D126" s="421">
        <v>142.93612958055704</v>
      </c>
      <c r="E126" s="1197">
        <v>2.763933368836666</v>
      </c>
      <c r="F126" s="1205">
        <v>0.1943367140731442</v>
      </c>
      <c r="G126" s="1206">
        <f t="shared" si="16"/>
        <v>19056.583328618344</v>
      </c>
      <c r="H126" s="1206">
        <f t="shared" si="17"/>
        <v>19.056583328618345</v>
      </c>
      <c r="I126" s="1201">
        <v>190.56583328618345</v>
      </c>
      <c r="K126" s="1224">
        <f t="shared" si="9"/>
        <v>1.178660334575431</v>
      </c>
      <c r="L126" s="1182">
        <f t="shared" si="10"/>
        <v>29.937972340647672</v>
      </c>
      <c r="M126" s="1199">
        <f t="shared" si="11"/>
        <v>0.5789058441028396</v>
      </c>
      <c r="N126" s="1205">
        <f t="shared" si="12"/>
        <v>0.04070382476262006</v>
      </c>
      <c r="O126" s="1206">
        <f t="shared" si="13"/>
        <v>3991.4013781791123</v>
      </c>
      <c r="P126" s="1314">
        <f t="shared" si="14"/>
        <v>3.9914013781791122</v>
      </c>
      <c r="Q126" s="1201">
        <f t="shared" si="15"/>
        <v>39.91401378179112</v>
      </c>
    </row>
    <row r="127" spans="1:17" ht="15" customHeight="1">
      <c r="A127" s="1168">
        <v>40000</v>
      </c>
      <c r="B127" s="1173">
        <v>12000</v>
      </c>
      <c r="C127" s="1225">
        <v>5.537967587497429</v>
      </c>
      <c r="D127" s="427">
        <v>140.66437598209586</v>
      </c>
      <c r="E127" s="1198">
        <v>2.720004828201159</v>
      </c>
      <c r="F127" s="1207">
        <v>0.19124802592407852</v>
      </c>
      <c r="G127" s="1208">
        <f t="shared" si="16"/>
        <v>18753.707758402452</v>
      </c>
      <c r="H127" s="1208">
        <f t="shared" si="17"/>
        <v>18.753707758402452</v>
      </c>
      <c r="I127" s="1202">
        <v>187.53707758402453</v>
      </c>
      <c r="K127" s="1225">
        <f t="shared" si="9"/>
        <v>1.1599273112013364</v>
      </c>
      <c r="L127" s="1184">
        <f t="shared" si="10"/>
        <v>29.46215354944998</v>
      </c>
      <c r="M127" s="1198">
        <f t="shared" si="11"/>
        <v>0.5697050112667328</v>
      </c>
      <c r="N127" s="1207">
        <f t="shared" si="12"/>
        <v>0.04005689902979825</v>
      </c>
      <c r="O127" s="1208">
        <f t="shared" si="13"/>
        <v>3927.9640899973933</v>
      </c>
      <c r="P127" s="1315">
        <f t="shared" si="14"/>
        <v>3.9279640899973938</v>
      </c>
      <c r="Q127" s="1202">
        <f t="shared" si="15"/>
        <v>39.279640899973934</v>
      </c>
    </row>
    <row r="128" spans="1:17" ht="15" customHeight="1">
      <c r="A128" s="1165">
        <v>40333.333333333336</v>
      </c>
      <c r="B128" s="1174">
        <v>12100</v>
      </c>
      <c r="C128" s="1223">
        <v>5.449949968495311</v>
      </c>
      <c r="D128" s="421">
        <v>138.42872847120864</v>
      </c>
      <c r="E128" s="1197">
        <v>2.676774465280108</v>
      </c>
      <c r="F128" s="1205">
        <v>0.1882084278017104</v>
      </c>
      <c r="G128" s="1206">
        <f t="shared" si="16"/>
        <v>18455.645937296336</v>
      </c>
      <c r="H128" s="1206">
        <f t="shared" si="17"/>
        <v>18.455645937296335</v>
      </c>
      <c r="I128" s="1200">
        <v>184.55645937296336</v>
      </c>
      <c r="K128" s="1226">
        <f t="shared" si="9"/>
        <v>1.1414920209013428</v>
      </c>
      <c r="L128" s="1182">
        <f t="shared" si="10"/>
        <v>28.99389717829465</v>
      </c>
      <c r="M128" s="1199">
        <f t="shared" si="11"/>
        <v>0.5606504117529186</v>
      </c>
      <c r="N128" s="1205">
        <f t="shared" si="12"/>
        <v>0.039420255203068244</v>
      </c>
      <c r="O128" s="1206">
        <f t="shared" si="13"/>
        <v>3865.5350415667176</v>
      </c>
      <c r="P128" s="1314">
        <f t="shared" si="14"/>
        <v>3.8655350415667176</v>
      </c>
      <c r="Q128" s="1201">
        <f t="shared" si="15"/>
        <v>38.65535041566717</v>
      </c>
    </row>
    <row r="129" spans="1:17" ht="15" customHeight="1">
      <c r="A129" s="1166">
        <v>40666.66666666667</v>
      </c>
      <c r="B129" s="1172">
        <v>12200</v>
      </c>
      <c r="C129" s="1224">
        <v>5.363331256426539</v>
      </c>
      <c r="D129" s="421">
        <v>136.2286131962414</v>
      </c>
      <c r="E129" s="1197">
        <v>2.634231183594689</v>
      </c>
      <c r="F129" s="1205">
        <v>0.18521713949431087</v>
      </c>
      <c r="G129" s="1206">
        <f t="shared" si="16"/>
        <v>18162.32135803837</v>
      </c>
      <c r="H129" s="1206">
        <f t="shared" si="17"/>
        <v>18.16232135803837</v>
      </c>
      <c r="I129" s="1201">
        <v>181.6232135803837</v>
      </c>
      <c r="K129" s="1224">
        <f t="shared" si="9"/>
        <v>1.1233497316585386</v>
      </c>
      <c r="L129" s="1182">
        <f t="shared" si="10"/>
        <v>28.533083033952764</v>
      </c>
      <c r="M129" s="1199">
        <f t="shared" si="11"/>
        <v>0.5517397214039076</v>
      </c>
      <c r="N129" s="1205">
        <f t="shared" si="12"/>
        <v>0.03879372986708341</v>
      </c>
      <c r="O129" s="1206">
        <f t="shared" si="13"/>
        <v>3804.0982084411366</v>
      </c>
      <c r="P129" s="1314">
        <f t="shared" si="14"/>
        <v>3.8040982084411366</v>
      </c>
      <c r="Q129" s="1201">
        <f t="shared" si="15"/>
        <v>38.04098208441136</v>
      </c>
    </row>
    <row r="130" spans="1:17" ht="15" customHeight="1">
      <c r="A130" s="1166">
        <v>41000</v>
      </c>
      <c r="B130" s="1172">
        <v>12300</v>
      </c>
      <c r="C130" s="1224">
        <v>5.278089217781164</v>
      </c>
      <c r="D130" s="421">
        <v>134.0634654260444</v>
      </c>
      <c r="E130" s="1197">
        <v>2.592364063027827</v>
      </c>
      <c r="F130" s="1205">
        <v>0.18227339319043642</v>
      </c>
      <c r="G130" s="1206">
        <f t="shared" si="16"/>
        <v>17873.65872933414</v>
      </c>
      <c r="H130" s="1206">
        <f t="shared" si="17"/>
        <v>17.87365872933414</v>
      </c>
      <c r="I130" s="1201">
        <v>178.73658729334142</v>
      </c>
      <c r="K130" s="1224">
        <f t="shared" si="9"/>
        <v>1.1054957866642647</v>
      </c>
      <c r="L130" s="1182">
        <f t="shared" si="10"/>
        <v>28.079592833485</v>
      </c>
      <c r="M130" s="1199">
        <f t="shared" si="11"/>
        <v>0.5429706530011783</v>
      </c>
      <c r="N130" s="1205">
        <f t="shared" si="12"/>
        <v>0.03817716220373691</v>
      </c>
      <c r="O130" s="1206">
        <f t="shared" si="13"/>
        <v>3743.6378208590354</v>
      </c>
      <c r="P130" s="1314">
        <f t="shared" si="14"/>
        <v>3.7436378208590355</v>
      </c>
      <c r="Q130" s="1201">
        <f t="shared" si="15"/>
        <v>37.43637820859036</v>
      </c>
    </row>
    <row r="131" spans="1:17" ht="15" customHeight="1">
      <c r="A131" s="1167">
        <v>41333.333333333336</v>
      </c>
      <c r="B131" s="1172">
        <v>12400</v>
      </c>
      <c r="C131" s="1224">
        <v>5.1942019724172415</v>
      </c>
      <c r="D131" s="421">
        <v>131.93272940501515</v>
      </c>
      <c r="E131" s="1197">
        <v>2.5511623570211874</v>
      </c>
      <c r="F131" s="1205">
        <v>0.17937643328184497</v>
      </c>
      <c r="G131" s="1206">
        <f t="shared" si="16"/>
        <v>17589.583956530474</v>
      </c>
      <c r="H131" s="1206">
        <f t="shared" si="17"/>
        <v>17.589583956530475</v>
      </c>
      <c r="I131" s="1201">
        <v>175.89583956530475</v>
      </c>
      <c r="K131" s="1224">
        <f t="shared" si="9"/>
        <v>1.0879256031227913</v>
      </c>
      <c r="L131" s="1182">
        <f t="shared" si="10"/>
        <v>27.633310173880425</v>
      </c>
      <c r="M131" s="1199">
        <f t="shared" si="11"/>
        <v>0.5343409556780877</v>
      </c>
      <c r="N131" s="1205">
        <f t="shared" si="12"/>
        <v>0.03757039395088243</v>
      </c>
      <c r="O131" s="1206">
        <f t="shared" si="13"/>
        <v>3684.138359695308</v>
      </c>
      <c r="P131" s="1314">
        <f t="shared" si="14"/>
        <v>3.684138359695308</v>
      </c>
      <c r="Q131" s="1201">
        <f t="shared" si="15"/>
        <v>36.84138359695308</v>
      </c>
    </row>
    <row r="132" spans="1:17" ht="15" customHeight="1">
      <c r="A132" s="1168">
        <v>41666.66666666667</v>
      </c>
      <c r="B132" s="1173">
        <v>12500</v>
      </c>
      <c r="C132" s="1225">
        <v>5.111647987944597</v>
      </c>
      <c r="D132" s="427">
        <v>129.83585821044613</v>
      </c>
      <c r="E132" s="1198">
        <v>2.510615489816732</v>
      </c>
      <c r="F132" s="1207">
        <v>0.17652551616954476</v>
      </c>
      <c r="G132" s="1208">
        <f t="shared" si="16"/>
        <v>17310.024122596653</v>
      </c>
      <c r="H132" s="1208">
        <f t="shared" si="17"/>
        <v>17.31002412259665</v>
      </c>
      <c r="I132" s="1202">
        <v>173.10024122596653</v>
      </c>
      <c r="K132" s="1225">
        <f t="shared" si="9"/>
        <v>1.0706346710749959</v>
      </c>
      <c r="L132" s="1184">
        <f t="shared" si="10"/>
        <v>27.19412050217794</v>
      </c>
      <c r="M132" s="1198">
        <f t="shared" si="11"/>
        <v>0.5258484143421145</v>
      </c>
      <c r="N132" s="1207">
        <f t="shared" si="12"/>
        <v>0.03697326936171115</v>
      </c>
      <c r="O132" s="1208">
        <f t="shared" si="13"/>
        <v>3625.584552477869</v>
      </c>
      <c r="P132" s="1315">
        <f t="shared" si="14"/>
        <v>3.6255845524778687</v>
      </c>
      <c r="Q132" s="1202">
        <f t="shared" si="15"/>
        <v>36.255845524778685</v>
      </c>
    </row>
    <row r="133" spans="1:17" ht="15" customHeight="1">
      <c r="A133" s="1165">
        <v>42000</v>
      </c>
      <c r="B133" s="1174">
        <v>12600</v>
      </c>
      <c r="C133" s="1223">
        <v>5.030406074197833</v>
      </c>
      <c r="D133" s="421">
        <v>127.7723136121391</v>
      </c>
      <c r="E133" s="1197">
        <v>2.4707130537421</v>
      </c>
      <c r="F133" s="1205">
        <v>0.17371991007292545</v>
      </c>
      <c r="G133" s="1206">
        <f t="shared" si="16"/>
        <v>17034.907469407888</v>
      </c>
      <c r="H133" s="1206">
        <f t="shared" si="17"/>
        <v>17.034907469407887</v>
      </c>
      <c r="I133" s="1200">
        <v>170.34907469407887</v>
      </c>
      <c r="K133" s="1226">
        <f t="shared" si="9"/>
        <v>1.0536185522407362</v>
      </c>
      <c r="L133" s="1182">
        <f t="shared" si="10"/>
        <v>26.761911086062533</v>
      </c>
      <c r="M133" s="1199">
        <f t="shared" si="11"/>
        <v>0.5174908491062828</v>
      </c>
      <c r="N133" s="1205">
        <f t="shared" si="12"/>
        <v>0.036385635164774235</v>
      </c>
      <c r="O133" s="1206">
        <f t="shared" si="13"/>
        <v>3567.961369467482</v>
      </c>
      <c r="P133" s="1314">
        <f t="shared" si="14"/>
        <v>3.567961369467482</v>
      </c>
      <c r="Q133" s="1201">
        <f t="shared" si="15"/>
        <v>35.67961369467482</v>
      </c>
    </row>
    <row r="134" spans="1:17" ht="15" customHeight="1">
      <c r="A134" s="1166">
        <v>42333.333333333336</v>
      </c>
      <c r="B134" s="1172">
        <v>12700</v>
      </c>
      <c r="C134" s="1224">
        <v>4.9504553777971765</v>
      </c>
      <c r="D134" s="421">
        <v>125.74156593425057</v>
      </c>
      <c r="E134" s="1197">
        <v>2.43144480653914</v>
      </c>
      <c r="F134" s="1205">
        <v>0.17095889484192253</v>
      </c>
      <c r="G134" s="1206">
        <f t="shared" si="16"/>
        <v>16764.163379326237</v>
      </c>
      <c r="H134" s="1206">
        <f t="shared" si="17"/>
        <v>16.764163379326238</v>
      </c>
      <c r="I134" s="1201">
        <v>167.64163379326237</v>
      </c>
      <c r="K134" s="1224">
        <f t="shared" si="9"/>
        <v>1.0368728788796187</v>
      </c>
      <c r="L134" s="1182">
        <f t="shared" si="10"/>
        <v>26.336570984928784</v>
      </c>
      <c r="M134" s="1199">
        <f t="shared" si="11"/>
        <v>0.5092661147296228</v>
      </c>
      <c r="N134" s="1205">
        <f t="shared" si="12"/>
        <v>0.03580734052464067</v>
      </c>
      <c r="O134" s="1206">
        <f t="shared" si="13"/>
        <v>3511.2540197998806</v>
      </c>
      <c r="P134" s="1314">
        <f t="shared" si="14"/>
        <v>3.5112540197998805</v>
      </c>
      <c r="Q134" s="1201">
        <f t="shared" si="15"/>
        <v>35.112540197998804</v>
      </c>
    </row>
    <row r="135" spans="1:17" ht="15" customHeight="1">
      <c r="A135" s="1166">
        <v>42666.66666666667</v>
      </c>
      <c r="B135" s="1172">
        <v>12800</v>
      </c>
      <c r="C135" s="1224">
        <v>4.8717753767957905</v>
      </c>
      <c r="D135" s="421">
        <v>123.74309391933365</v>
      </c>
      <c r="E135" s="1197">
        <v>2.392800668734904</v>
      </c>
      <c r="F135" s="1205">
        <v>0.1682417617721677</v>
      </c>
      <c r="G135" s="1206">
        <f t="shared" si="16"/>
        <v>16497.72235707432</v>
      </c>
      <c r="H135" s="1206">
        <f t="shared" si="17"/>
        <v>16.49772235707432</v>
      </c>
      <c r="I135" s="1201">
        <v>164.97722357074318</v>
      </c>
      <c r="K135" s="1224">
        <f aca="true" t="shared" si="18" ref="K135:K198">C135*$S$7</f>
        <v>1.0203933526698783</v>
      </c>
      <c r="L135" s="1182">
        <f aca="true" t="shared" si="19" ref="L135:L198">D135*$S$7</f>
        <v>25.917991021404433</v>
      </c>
      <c r="M135" s="1199">
        <f aca="true" t="shared" si="20" ref="M135:M198">E135*$S$7</f>
        <v>0.5011721000665257</v>
      </c>
      <c r="N135" s="1205">
        <f aca="true" t="shared" si="21" ref="N135:N198">F135*$S$7</f>
        <v>0.035238237003180524</v>
      </c>
      <c r="O135" s="1206">
        <f aca="true" t="shared" si="22" ref="O135:O198">G135*$S$7</f>
        <v>3455.447947689216</v>
      </c>
      <c r="P135" s="1314">
        <f aca="true" t="shared" si="23" ref="P135:P198">H135*$S$7</f>
        <v>3.4554479476892164</v>
      </c>
      <c r="Q135" s="1201">
        <f aca="true" t="shared" si="24" ref="Q135:Q198">I135*$S$7</f>
        <v>34.554479476892155</v>
      </c>
    </row>
    <row r="136" spans="1:17" ht="15" customHeight="1">
      <c r="A136" s="1167">
        <v>43000</v>
      </c>
      <c r="B136" s="1172">
        <v>12900</v>
      </c>
      <c r="C136" s="1224">
        <v>4.794345875412148</v>
      </c>
      <c r="D136" s="421">
        <v>121.77638459454023</v>
      </c>
      <c r="E136" s="1197">
        <v>2.354770721054425</v>
      </c>
      <c r="F136" s="1205">
        <v>0.1655678134230769</v>
      </c>
      <c r="G136" s="1206">
        <f aca="true" t="shared" si="25" ref="G136:G199">I136*100</f>
        <v>16235.51601189709</v>
      </c>
      <c r="H136" s="1206">
        <f aca="true" t="shared" si="26" ref="H136:H199">G136/1000</f>
        <v>16.23551601189709</v>
      </c>
      <c r="I136" s="1201">
        <v>162.3551601189709</v>
      </c>
      <c r="K136" s="1224">
        <f t="shared" si="18"/>
        <v>1.0041757436050744</v>
      </c>
      <c r="L136" s="1182">
        <f t="shared" si="19"/>
        <v>25.50606375332645</v>
      </c>
      <c r="M136" s="1199">
        <f t="shared" si="20"/>
        <v>0.4932067275248493</v>
      </c>
      <c r="N136" s="1205">
        <f t="shared" si="21"/>
        <v>0.03467817852146345</v>
      </c>
      <c r="O136" s="1206">
        <f t="shared" si="22"/>
        <v>3400.528828691846</v>
      </c>
      <c r="P136" s="1314">
        <f t="shared" si="23"/>
        <v>3.4005288286918454</v>
      </c>
      <c r="Q136" s="1201">
        <f t="shared" si="24"/>
        <v>34.00528828691846</v>
      </c>
    </row>
    <row r="137" spans="1:17" ht="15" customHeight="1">
      <c r="A137" s="1168">
        <v>43333.333333333336</v>
      </c>
      <c r="B137" s="1173">
        <v>13000</v>
      </c>
      <c r="C137" s="1225">
        <v>4.718146998846115</v>
      </c>
      <c r="D137" s="427">
        <v>119.84093313994958</v>
      </c>
      <c r="E137" s="1198">
        <v>2.3173452018746037</v>
      </c>
      <c r="F137" s="1207">
        <v>0.16293636343882884</v>
      </c>
      <c r="G137" s="1208">
        <f t="shared" si="25"/>
        <v>15977.477040007094</v>
      </c>
      <c r="H137" s="1208">
        <f t="shared" si="26"/>
        <v>15.977477040007093</v>
      </c>
      <c r="I137" s="1202">
        <v>159.77477040007093</v>
      </c>
      <c r="K137" s="1225">
        <f t="shared" si="18"/>
        <v>0.9882158889083188</v>
      </c>
      <c r="L137" s="1184">
        <f t="shared" si="19"/>
        <v>25.10068344616244</v>
      </c>
      <c r="M137" s="1198">
        <f t="shared" si="20"/>
        <v>0.48536795253263576</v>
      </c>
      <c r="N137" s="1207">
        <f t="shared" si="21"/>
        <v>0.034127021322262696</v>
      </c>
      <c r="O137" s="1208">
        <f t="shared" si="22"/>
        <v>3346.482566029486</v>
      </c>
      <c r="P137" s="1315">
        <f t="shared" si="23"/>
        <v>3.3464825660294855</v>
      </c>
      <c r="Q137" s="1202">
        <f t="shared" si="24"/>
        <v>33.464825660294856</v>
      </c>
    </row>
    <row r="138" spans="1:17" ht="15" customHeight="1">
      <c r="A138" s="1165">
        <v>43666.66666666667</v>
      </c>
      <c r="B138" s="1174">
        <v>13100</v>
      </c>
      <c r="C138" s="1223">
        <v>4.643159188177457</v>
      </c>
      <c r="D138" s="421">
        <v>117.93624275899036</v>
      </c>
      <c r="E138" s="1197">
        <v>2.2805145047185817</v>
      </c>
      <c r="F138" s="1205">
        <v>0.16034673637219046</v>
      </c>
      <c r="G138" s="1206">
        <f t="shared" si="25"/>
        <v>15723.539207308811</v>
      </c>
      <c r="H138" s="1206">
        <f t="shared" si="26"/>
        <v>15.72353920730881</v>
      </c>
      <c r="I138" s="1200">
        <v>157.23539207308812</v>
      </c>
      <c r="K138" s="1226">
        <f t="shared" si="18"/>
        <v>0.9725096919637685</v>
      </c>
      <c r="L138" s="1182">
        <f t="shared" si="19"/>
        <v>24.701746045870532</v>
      </c>
      <c r="M138" s="1199">
        <f t="shared" si="20"/>
        <v>0.4776537630133069</v>
      </c>
      <c r="N138" s="1205">
        <f t="shared" si="21"/>
        <v>0.03358462393315529</v>
      </c>
      <c r="O138" s="1206">
        <f t="shared" si="22"/>
        <v>3293.2952869708306</v>
      </c>
      <c r="P138" s="1314">
        <f t="shared" si="23"/>
        <v>3.2932952869708303</v>
      </c>
      <c r="Q138" s="1201">
        <f t="shared" si="24"/>
        <v>32.93295286970831</v>
      </c>
    </row>
    <row r="139" spans="1:17" ht="15" customHeight="1">
      <c r="A139" s="1166">
        <v>44000</v>
      </c>
      <c r="B139" s="1172">
        <v>13200</v>
      </c>
      <c r="C139" s="1224">
        <v>4.569363195345391</v>
      </c>
      <c r="D139" s="421">
        <v>116.06182455092122</v>
      </c>
      <c r="E139" s="1197">
        <v>2.2442691757899187</v>
      </c>
      <c r="F139" s="1205">
        <v>0.15779826751114068</v>
      </c>
      <c r="G139" s="1206">
        <f t="shared" si="25"/>
        <v>15473.63733239749</v>
      </c>
      <c r="H139" s="1206">
        <f t="shared" si="26"/>
        <v>15.47363733239749</v>
      </c>
      <c r="I139" s="1201">
        <v>154.7363733239749</v>
      </c>
      <c r="K139" s="1224">
        <f t="shared" si="18"/>
        <v>0.957053121265092</v>
      </c>
      <c r="L139" s="1182">
        <f t="shared" si="19"/>
        <v>24.309149152190447</v>
      </c>
      <c r="M139" s="1199">
        <f t="shared" si="20"/>
        <v>0.4700621788691985</v>
      </c>
      <c r="N139" s="1205">
        <f t="shared" si="21"/>
        <v>0.033050847130208415</v>
      </c>
      <c r="O139" s="1206">
        <f t="shared" si="22"/>
        <v>3240.953339270654</v>
      </c>
      <c r="P139" s="1314">
        <f t="shared" si="23"/>
        <v>3.240953339270654</v>
      </c>
      <c r="Q139" s="1201">
        <f t="shared" si="24"/>
        <v>32.40953339270654</v>
      </c>
    </row>
    <row r="140" spans="1:17" ht="15" customHeight="1">
      <c r="A140" s="1166">
        <v>44333.333333333336</v>
      </c>
      <c r="B140" s="1172">
        <v>13300</v>
      </c>
      <c r="C140" s="1224">
        <v>4.496740078207943</v>
      </c>
      <c r="D140" s="421">
        <v>114.21719738533862</v>
      </c>
      <c r="E140" s="1197">
        <v>2.208599911545969</v>
      </c>
      <c r="F140" s="1205">
        <v>0.15529030270825053</v>
      </c>
      <c r="G140" s="1206">
        <f t="shared" si="25"/>
        <v>15227.707269828205</v>
      </c>
      <c r="H140" s="1206">
        <f t="shared" si="26"/>
        <v>15.227707269828205</v>
      </c>
      <c r="I140" s="1201">
        <v>152.27707269828204</v>
      </c>
      <c r="K140" s="1224">
        <f t="shared" si="18"/>
        <v>0.9418422093806537</v>
      </c>
      <c r="L140" s="1182">
        <f t="shared" si="19"/>
        <v>23.922791992359173</v>
      </c>
      <c r="M140" s="1199">
        <f t="shared" si="20"/>
        <v>0.46259125147330316</v>
      </c>
      <c r="N140" s="1205">
        <f t="shared" si="21"/>
        <v>0.03252555390224307</v>
      </c>
      <c r="O140" s="1206">
        <f t="shared" si="22"/>
        <v>3189.4432876655173</v>
      </c>
      <c r="P140" s="1314">
        <f t="shared" si="23"/>
        <v>3.1894432876655174</v>
      </c>
      <c r="Q140" s="1201">
        <f t="shared" si="24"/>
        <v>31.894432876655173</v>
      </c>
    </row>
    <row r="141" spans="1:17" ht="15" customHeight="1">
      <c r="A141" s="1167">
        <v>44666.66666666667</v>
      </c>
      <c r="B141" s="1172">
        <v>13400</v>
      </c>
      <c r="C141" s="1224">
        <v>4.425271195679847</v>
      </c>
      <c r="D141" s="421">
        <v>112.40188777867924</v>
      </c>
      <c r="E141" s="1197">
        <v>2.1734975563098287</v>
      </c>
      <c r="F141" s="1205">
        <v>0.15282219821277535</v>
      </c>
      <c r="G141" s="1206">
        <f t="shared" si="25"/>
        <v>14985.685893650887</v>
      </c>
      <c r="H141" s="1206">
        <f t="shared" si="26"/>
        <v>14.985685893650887</v>
      </c>
      <c r="I141" s="1201">
        <v>149.85685893650887</v>
      </c>
      <c r="K141" s="1224">
        <f t="shared" si="18"/>
        <v>0.9268730519351439</v>
      </c>
      <c r="L141" s="1182">
        <f t="shared" si="19"/>
        <v>23.542575395244366</v>
      </c>
      <c r="M141" s="1199">
        <f t="shared" si="20"/>
        <v>0.4552390631690936</v>
      </c>
      <c r="N141" s="1205">
        <f t="shared" si="21"/>
        <v>0.032008609415665794</v>
      </c>
      <c r="O141" s="1206">
        <f t="shared" si="22"/>
        <v>3138.7519104251783</v>
      </c>
      <c r="P141" s="1314">
        <f t="shared" si="23"/>
        <v>3.138751910425178</v>
      </c>
      <c r="Q141" s="1201">
        <f t="shared" si="24"/>
        <v>31.387519104251783</v>
      </c>
    </row>
    <row r="142" spans="1:17" ht="15" customHeight="1">
      <c r="A142" s="1168">
        <v>45000</v>
      </c>
      <c r="B142" s="1173">
        <v>13500</v>
      </c>
      <c r="C142" s="1225">
        <v>4.354938202947688</v>
      </c>
      <c r="D142" s="427">
        <v>110.6154297726848</v>
      </c>
      <c r="E142" s="1198">
        <v>2.138953099920231</v>
      </c>
      <c r="F142" s="1207">
        <v>0.15039332050541476</v>
      </c>
      <c r="G142" s="1208">
        <f t="shared" si="25"/>
        <v>14747.511081206958</v>
      </c>
      <c r="H142" s="1208">
        <f t="shared" si="26"/>
        <v>14.747511081206959</v>
      </c>
      <c r="I142" s="1202">
        <v>147.47511081206957</v>
      </c>
      <c r="K142" s="1225">
        <f t="shared" si="18"/>
        <v>0.9121418066073932</v>
      </c>
      <c r="L142" s="1184">
        <f t="shared" si="19"/>
        <v>23.16840176588883</v>
      </c>
      <c r="M142" s="1198">
        <f t="shared" si="20"/>
        <v>0.4480037267782924</v>
      </c>
      <c r="N142" s="1207">
        <f t="shared" si="21"/>
        <v>0.03149988097985912</v>
      </c>
      <c r="O142" s="1208">
        <f t="shared" si="22"/>
        <v>3088.866195958797</v>
      </c>
      <c r="P142" s="1315">
        <f t="shared" si="23"/>
        <v>3.0888661959587975</v>
      </c>
      <c r="Q142" s="1202">
        <f t="shared" si="24"/>
        <v>30.88866195958797</v>
      </c>
    </row>
    <row r="143" spans="1:17" ht="15" customHeight="1">
      <c r="A143" s="1165">
        <v>45333.333333333336</v>
      </c>
      <c r="B143" s="1174">
        <v>13600</v>
      </c>
      <c r="C143" s="1223">
        <v>4.285723046761114</v>
      </c>
      <c r="D143" s="421">
        <v>108.8573648147988</v>
      </c>
      <c r="E143" s="1197">
        <v>2.1049576754187935</v>
      </c>
      <c r="F143" s="1205">
        <v>0.1480030461356995</v>
      </c>
      <c r="G143" s="1206">
        <f t="shared" si="25"/>
        <v>14513.121697183538</v>
      </c>
      <c r="H143" s="1206">
        <f t="shared" si="26"/>
        <v>14.513121697183538</v>
      </c>
      <c r="I143" s="1200">
        <v>145.13121697183539</v>
      </c>
      <c r="K143" s="1226">
        <f t="shared" si="18"/>
        <v>0.8976446921441154</v>
      </c>
      <c r="L143" s="1182">
        <f t="shared" si="19"/>
        <v>22.80017506045961</v>
      </c>
      <c r="M143" s="1199">
        <f t="shared" si="20"/>
        <v>0.4408833851164663</v>
      </c>
      <c r="N143" s="1205">
        <f t="shared" si="21"/>
        <v>0.030999238013122262</v>
      </c>
      <c r="O143" s="1206">
        <f t="shared" si="22"/>
        <v>3039.773339475092</v>
      </c>
      <c r="P143" s="1314">
        <f t="shared" si="23"/>
        <v>3.039773339475092</v>
      </c>
      <c r="Q143" s="1201">
        <f t="shared" si="24"/>
        <v>30.397733394750922</v>
      </c>
    </row>
    <row r="144" spans="1:17" ht="15" customHeight="1">
      <c r="A144" s="1166">
        <v>45666.66666666667</v>
      </c>
      <c r="B144" s="1172">
        <v>13700</v>
      </c>
      <c r="C144" s="1224">
        <v>4.217607960798886</v>
      </c>
      <c r="D144" s="421">
        <v>107.12724164046412</v>
      </c>
      <c r="E144" s="1197">
        <v>2.071502556774027</v>
      </c>
      <c r="F144" s="1205">
        <v>0.1456507615619626</v>
      </c>
      <c r="G144" s="1206">
        <f t="shared" si="25"/>
        <v>14282.457577921088</v>
      </c>
      <c r="H144" s="1206">
        <f t="shared" si="26"/>
        <v>14.282457577921088</v>
      </c>
      <c r="I144" s="1201">
        <v>142.82457577921087</v>
      </c>
      <c r="K144" s="1224">
        <f t="shared" si="18"/>
        <v>0.8833779873893266</v>
      </c>
      <c r="L144" s="1182">
        <f t="shared" si="19"/>
        <v>22.43780076159521</v>
      </c>
      <c r="M144" s="1199">
        <f t="shared" si="20"/>
        <v>0.43387621051631997</v>
      </c>
      <c r="N144" s="1205">
        <f t="shared" si="21"/>
        <v>0.030506552009153066</v>
      </c>
      <c r="O144" s="1206">
        <f t="shared" si="22"/>
        <v>2991.460739695572</v>
      </c>
      <c r="P144" s="1314">
        <f t="shared" si="23"/>
        <v>2.991460739695572</v>
      </c>
      <c r="Q144" s="1201">
        <f t="shared" si="24"/>
        <v>29.914607396955716</v>
      </c>
    </row>
    <row r="145" spans="1:17" ht="15" customHeight="1">
      <c r="A145" s="1166">
        <v>46000</v>
      </c>
      <c r="B145" s="1172">
        <v>13800</v>
      </c>
      <c r="C145" s="1224">
        <v>4.150575461108573</v>
      </c>
      <c r="D145" s="421">
        <v>105.42461615729135</v>
      </c>
      <c r="E145" s="1197">
        <v>2.038579156641518</v>
      </c>
      <c r="F145" s="1205">
        <v>0.14333586299385415</v>
      </c>
      <c r="G145" s="1206">
        <f t="shared" si="25"/>
        <v>14055.459515970455</v>
      </c>
      <c r="H145" s="1206">
        <f t="shared" si="26"/>
        <v>14.055459515970455</v>
      </c>
      <c r="I145" s="1201">
        <v>140.55459515970455</v>
      </c>
      <c r="K145" s="1224">
        <f t="shared" si="18"/>
        <v>0.8693380303291905</v>
      </c>
      <c r="L145" s="1182">
        <f t="shared" si="19"/>
        <v>22.081185854144675</v>
      </c>
      <c r="M145" s="1199">
        <f t="shared" si="20"/>
        <v>0.42698040435856593</v>
      </c>
      <c r="N145" s="1205">
        <f t="shared" si="21"/>
        <v>0.03002169650406275</v>
      </c>
      <c r="O145" s="1206">
        <f t="shared" si="22"/>
        <v>2943.915995620012</v>
      </c>
      <c r="P145" s="1314">
        <f t="shared" si="23"/>
        <v>2.943915995620012</v>
      </c>
      <c r="Q145" s="1201">
        <f t="shared" si="24"/>
        <v>29.43915995620012</v>
      </c>
    </row>
    <row r="146" spans="1:17" ht="15" customHeight="1">
      <c r="A146" s="1167">
        <v>46333.333333333336</v>
      </c>
      <c r="B146" s="1172">
        <v>13900</v>
      </c>
      <c r="C146" s="1224">
        <v>4.084608341618717</v>
      </c>
      <c r="D146" s="421">
        <v>103.74905133106778</v>
      </c>
      <c r="E146" s="1197">
        <v>2.0061790241597</v>
      </c>
      <c r="F146" s="1205">
        <v>0.14105775623735833</v>
      </c>
      <c r="G146" s="1206">
        <f t="shared" si="25"/>
        <v>13832.06924489532</v>
      </c>
      <c r="H146" s="1206">
        <f t="shared" si="26"/>
        <v>13.832069244895319</v>
      </c>
      <c r="I146" s="1201">
        <v>138.3206924489532</v>
      </c>
      <c r="K146" s="1224">
        <f t="shared" si="18"/>
        <v>0.8555212171520402</v>
      </c>
      <c r="L146" s="1182">
        <f t="shared" si="19"/>
        <v>21.730238801292145</v>
      </c>
      <c r="M146" s="1199">
        <f t="shared" si="20"/>
        <v>0.42019419661024915</v>
      </c>
      <c r="N146" s="1205">
        <f t="shared" si="21"/>
        <v>0.029544547043914703</v>
      </c>
      <c r="O146" s="1206">
        <f t="shared" si="22"/>
        <v>2897.1269033433246</v>
      </c>
      <c r="P146" s="1314">
        <f t="shared" si="23"/>
        <v>2.8971269033433247</v>
      </c>
      <c r="Q146" s="1201">
        <f t="shared" si="24"/>
        <v>28.971269033433245</v>
      </c>
    </row>
    <row r="147" spans="1:17" ht="15" customHeight="1">
      <c r="A147" s="1168">
        <v>46666.66666666667</v>
      </c>
      <c r="B147" s="1173">
        <v>14000</v>
      </c>
      <c r="C147" s="1225">
        <v>4.019689669722347</v>
      </c>
      <c r="D147" s="427">
        <v>102.10011707357859</v>
      </c>
      <c r="E147" s="1198">
        <v>1.9742938427806722</v>
      </c>
      <c r="F147" s="1207">
        <v>0.13881585654227468</v>
      </c>
      <c r="G147" s="1208">
        <f t="shared" si="25"/>
        <v>13612.22942431625</v>
      </c>
      <c r="H147" s="1208">
        <f t="shared" si="26"/>
        <v>13.61222942431625</v>
      </c>
      <c r="I147" s="1202">
        <v>136.12229424316251</v>
      </c>
      <c r="K147" s="1225">
        <f t="shared" si="18"/>
        <v>0.8419240013233457</v>
      </c>
      <c r="L147" s="1184">
        <f t="shared" si="19"/>
        <v>21.384869521061034</v>
      </c>
      <c r="M147" s="1198">
        <f t="shared" si="20"/>
        <v>0.4135158453704118</v>
      </c>
      <c r="N147" s="1207">
        <f t="shared" si="21"/>
        <v>0.02907498115277943</v>
      </c>
      <c r="O147" s="1208">
        <f t="shared" si="22"/>
        <v>2851.081452923039</v>
      </c>
      <c r="P147" s="1315">
        <f t="shared" si="23"/>
        <v>2.851081452923039</v>
      </c>
      <c r="Q147" s="1202">
        <f t="shared" si="24"/>
        <v>28.510814529230387</v>
      </c>
    </row>
    <row r="148" spans="1:17" ht="15" customHeight="1">
      <c r="A148" s="1165">
        <v>47000</v>
      </c>
      <c r="B148" s="1174">
        <v>14100</v>
      </c>
      <c r="C148" s="1223">
        <v>3.955802781930676</v>
      </c>
      <c r="D148" s="421">
        <v>100.47739013221081</v>
      </c>
      <c r="E148" s="1197">
        <v>1.9429154281354868</v>
      </c>
      <c r="F148" s="1205">
        <v>0.13660958845212295</v>
      </c>
      <c r="G148" s="1206">
        <f t="shared" si="25"/>
        <v>13395.883625192448</v>
      </c>
      <c r="H148" s="1206">
        <f t="shared" si="26"/>
        <v>13.395883625192448</v>
      </c>
      <c r="I148" s="1200">
        <v>133.95883625192448</v>
      </c>
      <c r="K148" s="1226">
        <f t="shared" si="18"/>
        <v>0.8285428926753801</v>
      </c>
      <c r="L148" s="1182">
        <f t="shared" si="19"/>
        <v>21.044989363191554</v>
      </c>
      <c r="M148" s="1199">
        <f t="shared" si="20"/>
        <v>0.4069436364229777</v>
      </c>
      <c r="N148" s="1205">
        <f t="shared" si="21"/>
        <v>0.02861287830129715</v>
      </c>
      <c r="O148" s="1206">
        <f t="shared" si="22"/>
        <v>2805.767825296558</v>
      </c>
      <c r="P148" s="1314">
        <f t="shared" si="23"/>
        <v>2.805767825296558</v>
      </c>
      <c r="Q148" s="1201">
        <f t="shared" si="24"/>
        <v>28.057678252965584</v>
      </c>
    </row>
    <row r="149" spans="1:17" ht="15" customHeight="1">
      <c r="A149" s="1166">
        <v>47333.333333333336</v>
      </c>
      <c r="B149" s="1172">
        <v>14200</v>
      </c>
      <c r="C149" s="1224">
        <v>3.892931279595858</v>
      </c>
      <c r="D149" s="421">
        <v>98.88045398131136</v>
      </c>
      <c r="E149" s="1197">
        <v>1.9120357259333574</v>
      </c>
      <c r="F149" s="1205">
        <v>0.13443838565643293</v>
      </c>
      <c r="G149" s="1206">
        <f t="shared" si="25"/>
        <v>13182.976315337333</v>
      </c>
      <c r="H149" s="1206">
        <f t="shared" si="26"/>
        <v>13.182976315337333</v>
      </c>
      <c r="I149" s="1201">
        <v>131.82976315337334</v>
      </c>
      <c r="K149" s="1224">
        <f t="shared" si="18"/>
        <v>0.8153744565113524</v>
      </c>
      <c r="L149" s="1182">
        <f t="shared" si="19"/>
        <v>20.710511086385665</v>
      </c>
      <c r="M149" s="1199">
        <f t="shared" si="20"/>
        <v>0.4004758827967417</v>
      </c>
      <c r="N149" s="1205">
        <f t="shared" si="21"/>
        <v>0.028158119875739875</v>
      </c>
      <c r="O149" s="1206">
        <f t="shared" si="22"/>
        <v>2761.1743892474046</v>
      </c>
      <c r="P149" s="1314">
        <f t="shared" si="23"/>
        <v>2.7611743892474045</v>
      </c>
      <c r="Q149" s="1201">
        <f t="shared" si="24"/>
        <v>27.611743892474045</v>
      </c>
    </row>
    <row r="150" spans="1:17" ht="15" customHeight="1">
      <c r="A150" s="1166">
        <v>47666.66666666667</v>
      </c>
      <c r="B150" s="1172">
        <v>14300</v>
      </c>
      <c r="C150" s="1224">
        <v>3.831059024701759</v>
      </c>
      <c r="D150" s="421">
        <v>97.30889871527259</v>
      </c>
      <c r="E150" s="1197">
        <v>1.881646809894271</v>
      </c>
      <c r="F150" s="1205">
        <v>0.13230169084538312</v>
      </c>
      <c r="G150" s="1206">
        <f t="shared" si="25"/>
        <v>12973.452845164467</v>
      </c>
      <c r="H150" s="1206">
        <f t="shared" si="26"/>
        <v>12.973452845164468</v>
      </c>
      <c r="I150" s="1201">
        <v>129.73452845164468</v>
      </c>
      <c r="K150" s="1224">
        <f t="shared" si="18"/>
        <v>0.8024153127237834</v>
      </c>
      <c r="L150" s="1182">
        <f t="shared" si="19"/>
        <v>20.381348835913844</v>
      </c>
      <c r="M150" s="1199">
        <f t="shared" si="20"/>
        <v>0.39411092433235506</v>
      </c>
      <c r="N150" s="1205">
        <f t="shared" si="21"/>
        <v>0.027710589147565495</v>
      </c>
      <c r="O150" s="1206">
        <f t="shared" si="22"/>
        <v>2717.2896984196977</v>
      </c>
      <c r="P150" s="1314">
        <f t="shared" si="23"/>
        <v>2.7172896984196977</v>
      </c>
      <c r="Q150" s="1201">
        <f t="shared" si="24"/>
        <v>27.172896984196978</v>
      </c>
    </row>
    <row r="151" spans="1:17" ht="15" customHeight="1">
      <c r="A151" s="1167">
        <v>48000</v>
      </c>
      <c r="B151" s="1172">
        <v>14400</v>
      </c>
      <c r="C151" s="1224">
        <v>3.7701701357216058</v>
      </c>
      <c r="D151" s="421">
        <v>95.76232094331658</v>
      </c>
      <c r="E151" s="1197">
        <v>1.8517408797144477</v>
      </c>
      <c r="F151" s="1205">
        <v>0.1301989555667487</v>
      </c>
      <c r="G151" s="1206">
        <f t="shared" si="25"/>
        <v>12767.259433659938</v>
      </c>
      <c r="H151" s="1206">
        <f t="shared" si="26"/>
        <v>12.767259433659937</v>
      </c>
      <c r="I151" s="1201">
        <v>127.67259433659937</v>
      </c>
      <c r="K151" s="1224">
        <f t="shared" si="18"/>
        <v>0.7896621349268903</v>
      </c>
      <c r="L151" s="1182">
        <f t="shared" si="19"/>
        <v>20.05741812157766</v>
      </c>
      <c r="M151" s="1199">
        <f t="shared" si="20"/>
        <v>0.3878471272561911</v>
      </c>
      <c r="N151" s="1205">
        <f t="shared" si="21"/>
        <v>0.027270171243455515</v>
      </c>
      <c r="O151" s="1206">
        <f t="shared" si="22"/>
        <v>2674.1024883800737</v>
      </c>
      <c r="P151" s="1314">
        <f t="shared" si="23"/>
        <v>2.6741024883800737</v>
      </c>
      <c r="Q151" s="1201">
        <f t="shared" si="24"/>
        <v>26.741024883800737</v>
      </c>
    </row>
    <row r="152" spans="1:17" ht="15" customHeight="1">
      <c r="A152" s="1168">
        <v>48333.333333333336</v>
      </c>
      <c r="B152" s="1173">
        <v>14500</v>
      </c>
      <c r="C152" s="1225">
        <v>3.710248983541468</v>
      </c>
      <c r="D152" s="427">
        <v>94.24032368595158</v>
      </c>
      <c r="E152" s="1198">
        <v>1.8223102590641373</v>
      </c>
      <c r="F152" s="1207">
        <v>0.1281296400851234</v>
      </c>
      <c r="G152" s="1208">
        <f t="shared" si="25"/>
        <v>12564.34315457769</v>
      </c>
      <c r="H152" s="1208">
        <f t="shared" si="26"/>
        <v>12.564343154577688</v>
      </c>
      <c r="I152" s="1202">
        <v>125.64343154577689</v>
      </c>
      <c r="K152" s="1225">
        <f t="shared" si="18"/>
        <v>0.7771116496027605</v>
      </c>
      <c r="L152" s="1184">
        <f t="shared" si="19"/>
        <v>19.738635796022557</v>
      </c>
      <c r="M152" s="1198">
        <f t="shared" si="20"/>
        <v>0.3816828837609836</v>
      </c>
      <c r="N152" s="1207">
        <f t="shared" si="21"/>
        <v>0.026836753115829094</v>
      </c>
      <c r="O152" s="1208">
        <f t="shared" si="22"/>
        <v>2631.601673726297</v>
      </c>
      <c r="P152" s="1315">
        <f t="shared" si="23"/>
        <v>2.631601673726297</v>
      </c>
      <c r="Q152" s="1202">
        <f t="shared" si="24"/>
        <v>26.31601673726297</v>
      </c>
    </row>
    <row r="153" spans="1:17" ht="15" customHeight="1">
      <c r="A153" s="1165">
        <v>48666.66666666667</v>
      </c>
      <c r="B153" s="1174">
        <v>14600</v>
      </c>
      <c r="C153" s="1223">
        <v>3.651280187448545</v>
      </c>
      <c r="D153" s="421">
        <v>92.74251627307454</v>
      </c>
      <c r="E153" s="1197">
        <v>1.7933473936172413</v>
      </c>
      <c r="F153" s="1205">
        <v>0.12609321324337885</v>
      </c>
      <c r="G153" s="1206">
        <f t="shared" si="25"/>
        <v>12364.651922854313</v>
      </c>
      <c r="H153" s="1206">
        <f t="shared" si="26"/>
        <v>12.364651922854312</v>
      </c>
      <c r="I153" s="1200">
        <v>123.64651922854313</v>
      </c>
      <c r="K153" s="1226">
        <f t="shared" si="18"/>
        <v>0.7647606352610977</v>
      </c>
      <c r="L153" s="1182">
        <f t="shared" si="19"/>
        <v>19.424920033395463</v>
      </c>
      <c r="M153" s="1199">
        <f t="shared" si="20"/>
        <v>0.3756166115931312</v>
      </c>
      <c r="N153" s="1205">
        <f t="shared" si="21"/>
        <v>0.0264102235138257</v>
      </c>
      <c r="O153" s="1206">
        <f t="shared" si="22"/>
        <v>2589.7763452418358</v>
      </c>
      <c r="P153" s="1314">
        <f t="shared" si="23"/>
        <v>2.5897763452418356</v>
      </c>
      <c r="Q153" s="1201">
        <f t="shared" si="24"/>
        <v>25.897763452418356</v>
      </c>
    </row>
    <row r="154" spans="1:17" ht="15" customHeight="1">
      <c r="A154" s="1166">
        <v>49000</v>
      </c>
      <c r="B154" s="1172">
        <v>14700</v>
      </c>
      <c r="C154" s="1224">
        <v>3.593248611183208</v>
      </c>
      <c r="D154" s="421">
        <v>91.26851424369289</v>
      </c>
      <c r="E154" s="1197">
        <v>1.7648448491122508</v>
      </c>
      <c r="F154" s="1205">
        <v>0.12408915232632614</v>
      </c>
      <c r="G154" s="1206">
        <f t="shared" si="25"/>
        <v>12168.134481239713</v>
      </c>
      <c r="H154" s="1206">
        <f t="shared" si="26"/>
        <v>12.168134481239713</v>
      </c>
      <c r="I154" s="1201">
        <v>121.68134481239713</v>
      </c>
      <c r="K154" s="1224">
        <f t="shared" si="18"/>
        <v>0.7526059216123229</v>
      </c>
      <c r="L154" s="1182">
        <f t="shared" si="19"/>
        <v>19.116190308341476</v>
      </c>
      <c r="M154" s="1199">
        <f t="shared" si="20"/>
        <v>0.3696467536465609</v>
      </c>
      <c r="N154" s="1205">
        <f t="shared" si="21"/>
        <v>0.02599047295474901</v>
      </c>
      <c r="O154" s="1206">
        <f t="shared" si="22"/>
        <v>2548.6157670956577</v>
      </c>
      <c r="P154" s="1314">
        <f t="shared" si="23"/>
        <v>2.548615767095658</v>
      </c>
      <c r="Q154" s="1201">
        <f t="shared" si="24"/>
        <v>25.48615767095658</v>
      </c>
    </row>
    <row r="155" spans="1:17" ht="15" customHeight="1">
      <c r="A155" s="1166">
        <v>49333.333333333336</v>
      </c>
      <c r="B155" s="1172">
        <v>14800</v>
      </c>
      <c r="C155" s="1224">
        <v>3.5361393590537764</v>
      </c>
      <c r="D155" s="421">
        <v>89.81793924723993</v>
      </c>
      <c r="E155" s="1197">
        <v>1.7367953094439972</v>
      </c>
      <c r="F155" s="1205">
        <v>0.12211694292654346</v>
      </c>
      <c r="G155" s="1206">
        <f t="shared" si="25"/>
        <v>11974.740387140244</v>
      </c>
      <c r="H155" s="1206">
        <f t="shared" si="26"/>
        <v>11.974740387140244</v>
      </c>
      <c r="I155" s="1201">
        <v>119.74740387140244</v>
      </c>
      <c r="K155" s="1224">
        <f t="shared" si="18"/>
        <v>0.7406443887538134</v>
      </c>
      <c r="L155" s="1182">
        <f t="shared" si="19"/>
        <v>18.812367375334404</v>
      </c>
      <c r="M155" s="1199">
        <f t="shared" si="20"/>
        <v>0.3637717775630452</v>
      </c>
      <c r="N155" s="1205">
        <f t="shared" si="21"/>
        <v>0.025577393695964526</v>
      </c>
      <c r="O155" s="1206">
        <f t="shared" si="22"/>
        <v>2508.109374086524</v>
      </c>
      <c r="P155" s="1314">
        <f t="shared" si="23"/>
        <v>2.508109374086524</v>
      </c>
      <c r="Q155" s="1201">
        <f t="shared" si="24"/>
        <v>25.081093740865242</v>
      </c>
    </row>
    <row r="156" spans="1:17" ht="15" customHeight="1">
      <c r="A156" s="1167">
        <v>49666.66666666667</v>
      </c>
      <c r="B156" s="1172">
        <v>14900</v>
      </c>
      <c r="C156" s="1224">
        <v>3.4799377721130633</v>
      </c>
      <c r="D156" s="421">
        <v>88.39041894645908</v>
      </c>
      <c r="E156" s="1197">
        <v>1.7091915747857402</v>
      </c>
      <c r="F156" s="1205">
        <v>0.12017607881233708</v>
      </c>
      <c r="G156" s="1206">
        <f t="shared" si="25"/>
        <v>11784.419999671009</v>
      </c>
      <c r="H156" s="1206">
        <f t="shared" si="26"/>
        <v>11.784419999671009</v>
      </c>
      <c r="I156" s="1201">
        <v>117.84419999671009</v>
      </c>
      <c r="K156" s="1224">
        <f t="shared" si="18"/>
        <v>0.728872966369081</v>
      </c>
      <c r="L156" s="1182">
        <f t="shared" si="19"/>
        <v>18.513373248335853</v>
      </c>
      <c r="M156" s="1199">
        <f t="shared" si="20"/>
        <v>0.3579901753388733</v>
      </c>
      <c r="N156" s="1205">
        <f t="shared" si="21"/>
        <v>0.025170879707244</v>
      </c>
      <c r="O156" s="1206">
        <f t="shared" si="22"/>
        <v>2468.246768931093</v>
      </c>
      <c r="P156" s="1314">
        <f t="shared" si="23"/>
        <v>2.4682467689310927</v>
      </c>
      <c r="Q156" s="1201">
        <f t="shared" si="24"/>
        <v>24.68246768931093</v>
      </c>
    </row>
    <row r="157" spans="1:17" ht="15" customHeight="1">
      <c r="A157" s="1168">
        <v>50000</v>
      </c>
      <c r="B157" s="1173">
        <v>15000</v>
      </c>
      <c r="C157" s="1225">
        <v>3.4246294243956767</v>
      </c>
      <c r="D157" s="427">
        <v>86.98558692183131</v>
      </c>
      <c r="E157" s="1198">
        <v>1.682026559741096</v>
      </c>
      <c r="F157" s="1207">
        <v>0.1182660617978004</v>
      </c>
      <c r="G157" s="1208">
        <f t="shared" si="25"/>
        <v>11597.124466913892</v>
      </c>
      <c r="H157" s="1208">
        <f t="shared" si="26"/>
        <v>11.597124466913892</v>
      </c>
      <c r="I157" s="1202">
        <v>115.97124466913893</v>
      </c>
      <c r="K157" s="1225">
        <f t="shared" si="18"/>
        <v>0.7172886329396745</v>
      </c>
      <c r="L157" s="1184">
        <f t="shared" si="19"/>
        <v>18.21913118077757</v>
      </c>
      <c r="M157" s="1198">
        <f t="shared" si="20"/>
        <v>0.35230046293777256</v>
      </c>
      <c r="N157" s="1207">
        <f t="shared" si="21"/>
        <v>0.024770826643549293</v>
      </c>
      <c r="O157" s="1208">
        <f t="shared" si="22"/>
        <v>2429.0177195951146</v>
      </c>
      <c r="P157" s="1315">
        <f t="shared" si="23"/>
        <v>2.4290177195951146</v>
      </c>
      <c r="Q157" s="1202">
        <f t="shared" si="24"/>
        <v>24.29017719595115</v>
      </c>
    </row>
    <row r="158" spans="1:17" ht="15" customHeight="1">
      <c r="A158" s="1165">
        <v>50333.333333333336</v>
      </c>
      <c r="B158" s="1174">
        <v>15100</v>
      </c>
      <c r="C158" s="1223">
        <v>3.370200119215125</v>
      </c>
      <c r="D158" s="421">
        <v>85.60308257752163</v>
      </c>
      <c r="E158" s="1197">
        <v>1.6552932915253393</v>
      </c>
      <c r="F158" s="1205">
        <v>0.11638640161493831</v>
      </c>
      <c r="G158" s="1206">
        <f t="shared" si="25"/>
        <v>11412.805713378131</v>
      </c>
      <c r="H158" s="1206">
        <f t="shared" si="26"/>
        <v>11.41280571337813</v>
      </c>
      <c r="I158" s="1200">
        <v>114.12805713378131</v>
      </c>
      <c r="K158" s="1226">
        <f t="shared" si="18"/>
        <v>0.705888414969608</v>
      </c>
      <c r="L158" s="1182">
        <f t="shared" si="19"/>
        <v>17.929565645861906</v>
      </c>
      <c r="M158" s="1199">
        <f t="shared" si="20"/>
        <v>0.34670117990998234</v>
      </c>
      <c r="N158" s="1205">
        <f t="shared" si="21"/>
        <v>0.02437713181824883</v>
      </c>
      <c r="O158" s="1206">
        <f t="shared" si="22"/>
        <v>2390.4121566670497</v>
      </c>
      <c r="P158" s="1314">
        <f t="shared" si="23"/>
        <v>2.3904121566670495</v>
      </c>
      <c r="Q158" s="1201">
        <f t="shared" si="24"/>
        <v>23.904121566670497</v>
      </c>
    </row>
    <row r="159" spans="1:17" ht="15" customHeight="1">
      <c r="A159" s="1166">
        <v>50666.66666666667</v>
      </c>
      <c r="B159" s="1172">
        <v>15200</v>
      </c>
      <c r="C159" s="1224">
        <v>3.316635885519778</v>
      </c>
      <c r="D159" s="421">
        <v>84.24255104882052</v>
      </c>
      <c r="E159" s="1197">
        <v>1.6289849081756136</v>
      </c>
      <c r="F159" s="1205">
        <v>0.11453661578782402</v>
      </c>
      <c r="G159" s="1206">
        <f t="shared" si="25"/>
        <v>11231.416427660182</v>
      </c>
      <c r="H159" s="1206">
        <f t="shared" si="26"/>
        <v>11.231416427660182</v>
      </c>
      <c r="I159" s="1201">
        <v>112.31416427660183</v>
      </c>
      <c r="K159" s="1224">
        <f t="shared" si="18"/>
        <v>0.6946693862221175</v>
      </c>
      <c r="L159" s="1182">
        <f t="shared" si="19"/>
        <v>17.64460231717546</v>
      </c>
      <c r="M159" s="1199">
        <f t="shared" si="20"/>
        <v>0.34119088901738226</v>
      </c>
      <c r="N159" s="1205">
        <f t="shared" si="21"/>
        <v>0.02398969417675974</v>
      </c>
      <c r="O159" s="1206">
        <f t="shared" si="22"/>
        <v>2352.420170773425</v>
      </c>
      <c r="P159" s="1314">
        <f t="shared" si="23"/>
        <v>2.352420170773425</v>
      </c>
      <c r="Q159" s="1201">
        <f t="shared" si="24"/>
        <v>23.524201707734253</v>
      </c>
    </row>
    <row r="160" spans="1:17" ht="15" customHeight="1">
      <c r="A160" s="1166">
        <v>51000</v>
      </c>
      <c r="B160" s="1172">
        <v>15300</v>
      </c>
      <c r="C160" s="1224">
        <v>3.2639229743067415</v>
      </c>
      <c r="D160" s="421">
        <v>82.90364311105627</v>
      </c>
      <c r="E160" s="1197">
        <v>1.6030946567895827</v>
      </c>
      <c r="F160" s="1205">
        <v>0.11271622950875586</v>
      </c>
      <c r="G160" s="1206">
        <f t="shared" si="25"/>
        <v>11052.910050299706</v>
      </c>
      <c r="H160" s="1206">
        <f t="shared" si="26"/>
        <v>11.052910050299706</v>
      </c>
      <c r="I160" s="1201">
        <v>110.52910050299707</v>
      </c>
      <c r="K160" s="1224">
        <f t="shared" si="18"/>
        <v>0.683628666968547</v>
      </c>
      <c r="L160" s="1182">
        <f t="shared" si="19"/>
        <v>17.364168049610736</v>
      </c>
      <c r="M160" s="1199">
        <f t="shared" si="20"/>
        <v>0.3357681758645781</v>
      </c>
      <c r="N160" s="1205">
        <f t="shared" si="21"/>
        <v>0.023608414270608915</v>
      </c>
      <c r="O160" s="1206">
        <f t="shared" si="22"/>
        <v>2315.0320100352733</v>
      </c>
      <c r="P160" s="1314">
        <f t="shared" si="23"/>
        <v>2.3150320100352735</v>
      </c>
      <c r="Q160" s="1201">
        <f t="shared" si="24"/>
        <v>23.150320100352737</v>
      </c>
    </row>
    <row r="161" spans="1:17" ht="15" customHeight="1">
      <c r="A161" s="1167">
        <v>51333.333333333336</v>
      </c>
      <c r="B161" s="1172">
        <v>15400</v>
      </c>
      <c r="C161" s="1224">
        <v>3.212047855092725</v>
      </c>
      <c r="D161" s="421">
        <v>81.58601508995514</v>
      </c>
      <c r="E161" s="1197">
        <v>1.57761589179208</v>
      </c>
      <c r="F161" s="1205">
        <v>0.11092477551638244</v>
      </c>
      <c r="G161" s="1206">
        <f t="shared" si="25"/>
        <v>10877.24076182856</v>
      </c>
      <c r="H161" s="1206">
        <f t="shared" si="26"/>
        <v>10.87724076182856</v>
      </c>
      <c r="I161" s="1201">
        <v>108.7724076182856</v>
      </c>
      <c r="K161" s="1224">
        <f t="shared" si="18"/>
        <v>0.6727634232491713</v>
      </c>
      <c r="L161" s="1182">
        <f t="shared" si="19"/>
        <v>17.088190860591105</v>
      </c>
      <c r="M161" s="1199">
        <f t="shared" si="20"/>
        <v>0.33043164853585116</v>
      </c>
      <c r="N161" s="1205">
        <f t="shared" si="21"/>
        <v>0.023233194231906302</v>
      </c>
      <c r="O161" s="1206">
        <f t="shared" si="22"/>
        <v>2278.2380775649917</v>
      </c>
      <c r="P161" s="1314">
        <f t="shared" si="23"/>
        <v>2.2782380775649917</v>
      </c>
      <c r="Q161" s="1201">
        <f t="shared" si="24"/>
        <v>22.78238077564992</v>
      </c>
    </row>
    <row r="162" spans="1:17" ht="15" customHeight="1">
      <c r="A162" s="1168">
        <v>51666.66666666667</v>
      </c>
      <c r="B162" s="1173">
        <v>15500</v>
      </c>
      <c r="C162" s="1225">
        <v>3.160997212441008</v>
      </c>
      <c r="D162" s="427">
        <v>80.28932877342619</v>
      </c>
      <c r="E162" s="1198">
        <v>1.5525420732293043</v>
      </c>
      <c r="F162" s="1207">
        <v>0.10916179397576486</v>
      </c>
      <c r="G162" s="1208">
        <f t="shared" si="25"/>
        <v>10704.363471009749</v>
      </c>
      <c r="H162" s="1208">
        <f t="shared" si="26"/>
        <v>10.70436347100975</v>
      </c>
      <c r="I162" s="1202">
        <v>107.04363471009749</v>
      </c>
      <c r="K162" s="1225">
        <f t="shared" si="18"/>
        <v>0.6620708661457692</v>
      </c>
      <c r="L162" s="1184">
        <f t="shared" si="19"/>
        <v>16.816599911594114</v>
      </c>
      <c r="M162" s="1198">
        <f t="shared" si="20"/>
        <v>0.32517993723787775</v>
      </c>
      <c r="N162" s="1207">
        <f t="shared" si="21"/>
        <v>0.02286393774822395</v>
      </c>
      <c r="O162" s="1208">
        <f t="shared" si="22"/>
        <v>2242.028929002992</v>
      </c>
      <c r="P162" s="1315">
        <f t="shared" si="23"/>
        <v>2.2420289290029918</v>
      </c>
      <c r="Q162" s="1202">
        <f t="shared" si="24"/>
        <v>22.42028929002992</v>
      </c>
    </row>
    <row r="163" spans="1:17" ht="15" customHeight="1">
      <c r="A163" s="1165">
        <v>52000</v>
      </c>
      <c r="B163" s="1174">
        <v>15600</v>
      </c>
      <c r="C163" s="1223">
        <v>3.1107579425435996</v>
      </c>
      <c r="D163" s="421">
        <v>79.01325132474821</v>
      </c>
      <c r="E163" s="1197">
        <v>1.5278667650901312</v>
      </c>
      <c r="F163" s="1205">
        <v>0.10742683236034518</v>
      </c>
      <c r="G163" s="1206">
        <f t="shared" si="25"/>
        <v>10534.233803263307</v>
      </c>
      <c r="H163" s="1206">
        <f t="shared" si="26"/>
        <v>10.534233803263307</v>
      </c>
      <c r="I163" s="1200">
        <v>105.34233803263307</v>
      </c>
      <c r="K163" s="1226">
        <f t="shared" si="18"/>
        <v>0.651548251065757</v>
      </c>
      <c r="L163" s="1182">
        <f t="shared" si="19"/>
        <v>16.549325489968513</v>
      </c>
      <c r="M163" s="1199">
        <f t="shared" si="20"/>
        <v>0.32001169394812795</v>
      </c>
      <c r="N163" s="1205">
        <f t="shared" si="21"/>
        <v>0.0225005500378743</v>
      </c>
      <c r="O163" s="1206">
        <f t="shared" si="22"/>
        <v>2206.3952700934997</v>
      </c>
      <c r="P163" s="1314">
        <f t="shared" si="23"/>
        <v>2.2063952700934997</v>
      </c>
      <c r="Q163" s="1201">
        <f t="shared" si="24"/>
        <v>22.063952700934994</v>
      </c>
    </row>
    <row r="164" spans="1:17" ht="15" customHeight="1">
      <c r="A164" s="1166">
        <v>52333.333333333336</v>
      </c>
      <c r="B164" s="1172">
        <v>15700</v>
      </c>
      <c r="C164" s="1224">
        <v>3.0613171498577136</v>
      </c>
      <c r="D164" s="421">
        <v>77.75745519713617</v>
      </c>
      <c r="E164" s="1197">
        <v>1.503583633654096</v>
      </c>
      <c r="F164" s="1205">
        <v>0.10571944533579054</v>
      </c>
      <c r="G164" s="1206">
        <f t="shared" si="25"/>
        <v>10366.80808927608</v>
      </c>
      <c r="H164" s="1206">
        <f t="shared" si="26"/>
        <v>10.36680808927608</v>
      </c>
      <c r="I164" s="1201">
        <v>103.66808089276081</v>
      </c>
      <c r="K164" s="1224">
        <f t="shared" si="18"/>
        <v>0.6411928770376981</v>
      </c>
      <c r="L164" s="1182">
        <f t="shared" si="19"/>
        <v>16.28629899104017</v>
      </c>
      <c r="M164" s="1199">
        <f t="shared" si="20"/>
        <v>0.3149255920688504</v>
      </c>
      <c r="N164" s="1205">
        <f t="shared" si="21"/>
        <v>0.02214293782558133</v>
      </c>
      <c r="O164" s="1206">
        <f t="shared" si="22"/>
        <v>2171.3279542988753</v>
      </c>
      <c r="P164" s="1314">
        <f t="shared" si="23"/>
        <v>2.1713279542988753</v>
      </c>
      <c r="Q164" s="1201">
        <f t="shared" si="24"/>
        <v>21.71327954298875</v>
      </c>
    </row>
    <row r="165" spans="1:17" ht="15" customHeight="1">
      <c r="A165" s="1166">
        <v>52666.66666666667</v>
      </c>
      <c r="B165" s="1172">
        <v>15800</v>
      </c>
      <c r="C165" s="1224">
        <v>3.0126621437957173</v>
      </c>
      <c r="D165" s="421">
        <v>76.52161804966586</v>
      </c>
      <c r="E165" s="1197">
        <v>1.479686445865644</v>
      </c>
      <c r="F165" s="1205">
        <v>0.10403919464568388</v>
      </c>
      <c r="G165" s="1206">
        <f t="shared" si="25"/>
        <v>10202.043353792624</v>
      </c>
      <c r="H165" s="1206">
        <f t="shared" si="26"/>
        <v>10.202043353792623</v>
      </c>
      <c r="I165" s="1201">
        <v>102.02043353792624</v>
      </c>
      <c r="K165" s="1224">
        <f t="shared" si="18"/>
        <v>0.631002086018013</v>
      </c>
      <c r="L165" s="1182">
        <f t="shared" si="19"/>
        <v>16.027452900502514</v>
      </c>
      <c r="M165" s="1199">
        <f t="shared" si="20"/>
        <v>0.3099203260865591</v>
      </c>
      <c r="N165" s="1205">
        <f t="shared" si="21"/>
        <v>0.021791009318538487</v>
      </c>
      <c r="O165" s="1206">
        <f t="shared" si="22"/>
        <v>2136.817980451865</v>
      </c>
      <c r="P165" s="1314">
        <f t="shared" si="23"/>
        <v>2.1368179804518648</v>
      </c>
      <c r="Q165" s="1201">
        <f t="shared" si="24"/>
        <v>21.36817980451865</v>
      </c>
    </row>
    <row r="166" spans="1:17" ht="15" customHeight="1">
      <c r="A166" s="1167">
        <v>53000</v>
      </c>
      <c r="B166" s="1172">
        <v>15900</v>
      </c>
      <c r="C166" s="1224">
        <v>2.964780435467674</v>
      </c>
      <c r="D166" s="421">
        <v>75.3054226645346</v>
      </c>
      <c r="E166" s="1197">
        <v>1.456169067734211</v>
      </c>
      <c r="F166" s="1205">
        <v>0.10238564899903106</v>
      </c>
      <c r="G166" s="1206">
        <f t="shared" si="25"/>
        <v>10039.897304584169</v>
      </c>
      <c r="H166" s="1206">
        <f t="shared" si="26"/>
        <v>10.03989730458417</v>
      </c>
      <c r="I166" s="1201">
        <v>100.39897304584169</v>
      </c>
      <c r="K166" s="1224">
        <f t="shared" si="18"/>
        <v>0.6209732622087043</v>
      </c>
      <c r="L166" s="1182">
        <f t="shared" si="19"/>
        <v>15.772720777086773</v>
      </c>
      <c r="M166" s="1199">
        <f t="shared" si="20"/>
        <v>0.3049946112369305</v>
      </c>
      <c r="N166" s="1205">
        <f t="shared" si="21"/>
        <v>0.021444674182847057</v>
      </c>
      <c r="O166" s="1206">
        <f t="shared" si="22"/>
        <v>2102.856490445154</v>
      </c>
      <c r="P166" s="1314">
        <f t="shared" si="23"/>
        <v>2.1028564904451543</v>
      </c>
      <c r="Q166" s="1201">
        <f t="shared" si="24"/>
        <v>21.028564904451542</v>
      </c>
    </row>
    <row r="167" spans="1:17" ht="15" customHeight="1">
      <c r="A167" s="1168">
        <v>53333.333333333336</v>
      </c>
      <c r="B167" s="1173">
        <v>16000</v>
      </c>
      <c r="C167" s="1225">
        <v>2.9176597344756607</v>
      </c>
      <c r="D167" s="427">
        <v>74.10855686563676</v>
      </c>
      <c r="E167" s="1198">
        <v>1.4330254627597336</v>
      </c>
      <c r="F167" s="1207">
        <v>0.10075838395955587</v>
      </c>
      <c r="G167" s="1208">
        <f t="shared" si="25"/>
        <v>9880.328321592953</v>
      </c>
      <c r="H167" s="1315">
        <f t="shared" si="26"/>
        <v>9.880328321592954</v>
      </c>
      <c r="I167" s="1202">
        <v>98.80328321592953</v>
      </c>
      <c r="K167" s="1225">
        <f t="shared" si="18"/>
        <v>0.6111038313859272</v>
      </c>
      <c r="L167" s="1184">
        <f t="shared" si="19"/>
        <v>15.522037235507618</v>
      </c>
      <c r="M167" s="1198">
        <f t="shared" si="20"/>
        <v>0.3001471831750262</v>
      </c>
      <c r="N167" s="1207">
        <f t="shared" si="21"/>
        <v>0.02110384352032898</v>
      </c>
      <c r="O167" s="1208">
        <f t="shared" si="22"/>
        <v>2069.434766957644</v>
      </c>
      <c r="P167" s="1315">
        <f t="shared" si="23"/>
        <v>2.0694347669576443</v>
      </c>
      <c r="Q167" s="1202">
        <f t="shared" si="24"/>
        <v>20.694347669576437</v>
      </c>
    </row>
    <row r="168" spans="1:17" ht="15" customHeight="1">
      <c r="A168" s="1165">
        <v>53666.66666666667</v>
      </c>
      <c r="B168" s="1174">
        <v>16100</v>
      </c>
      <c r="C168" s="1223">
        <v>2.8712879457590446</v>
      </c>
      <c r="D168" s="421">
        <v>72.93071343843387</v>
      </c>
      <c r="E168" s="1197">
        <v>1.4102496903831896</v>
      </c>
      <c r="F168" s="1205">
        <v>0.0991569818367549</v>
      </c>
      <c r="G168" s="1206">
        <f t="shared" si="25"/>
        <v>9723.295446249094</v>
      </c>
      <c r="H168" s="1314">
        <f t="shared" si="26"/>
        <v>9.723295446249095</v>
      </c>
      <c r="I168" s="1200">
        <v>97.23295446249095</v>
      </c>
      <c r="K168" s="1226">
        <f t="shared" si="18"/>
        <v>0.6013912602392318</v>
      </c>
      <c r="L168" s="1182">
        <f t="shared" si="19"/>
        <v>15.275337929679974</v>
      </c>
      <c r="M168" s="1199">
        <f t="shared" si="20"/>
        <v>0.2953767976507591</v>
      </c>
      <c r="N168" s="1205">
        <f t="shared" si="21"/>
        <v>0.020768429845708314</v>
      </c>
      <c r="O168" s="1206">
        <f t="shared" si="22"/>
        <v>2036.5442312168727</v>
      </c>
      <c r="P168" s="1314">
        <f t="shared" si="23"/>
        <v>2.036544231216873</v>
      </c>
      <c r="Q168" s="1201">
        <f t="shared" si="24"/>
        <v>20.365442312168728</v>
      </c>
    </row>
    <row r="169" spans="1:17" ht="15" customHeight="1">
      <c r="A169" s="1166">
        <v>54000</v>
      </c>
      <c r="B169" s="1172">
        <v>16200</v>
      </c>
      <c r="C169" s="1224">
        <v>2.825653166489888</v>
      </c>
      <c r="D169" s="421">
        <v>71.77159005109795</v>
      </c>
      <c r="E169" s="1197">
        <v>1.3878359044617572</v>
      </c>
      <c r="F169" s="1205">
        <v>0.09758103157868357</v>
      </c>
      <c r="G169" s="1206">
        <f t="shared" si="25"/>
        <v>9568.758370957237</v>
      </c>
      <c r="H169" s="1314">
        <f t="shared" si="26"/>
        <v>9.568758370957237</v>
      </c>
      <c r="I169" s="1201">
        <v>95.68758370957237</v>
      </c>
      <c r="K169" s="1224">
        <f t="shared" si="18"/>
        <v>0.5918330557213071</v>
      </c>
      <c r="L169" s="1182">
        <f t="shared" si="19"/>
        <v>15.032559536202465</v>
      </c>
      <c r="M169" s="1199">
        <f t="shared" si="20"/>
        <v>0.29068223018951506</v>
      </c>
      <c r="N169" s="1205">
        <f t="shared" si="21"/>
        <v>0.020438347064155274</v>
      </c>
      <c r="O169" s="1206">
        <f t="shared" si="22"/>
        <v>2004.1764407969933</v>
      </c>
      <c r="P169" s="1314">
        <f t="shared" si="23"/>
        <v>2.0041764407969933</v>
      </c>
      <c r="Q169" s="1201">
        <f t="shared" si="24"/>
        <v>20.041764407969932</v>
      </c>
    </row>
    <row r="170" spans="1:17" ht="15" customHeight="1">
      <c r="A170" s="1166">
        <v>54333.333333333336</v>
      </c>
      <c r="B170" s="1172">
        <v>16300</v>
      </c>
      <c r="C170" s="1224">
        <v>2.7807436830176986</v>
      </c>
      <c r="D170" s="421">
        <v>70.63088917690803</v>
      </c>
      <c r="E170" s="1197">
        <v>1.365778351768211</v>
      </c>
      <c r="F170" s="1205">
        <v>0.09603012866644614</v>
      </c>
      <c r="G170" s="1206">
        <f t="shared" si="25"/>
        <v>9416.67742875027</v>
      </c>
      <c r="H170" s="1314">
        <f t="shared" si="26"/>
        <v>9.41667742875027</v>
      </c>
      <c r="I170" s="1201">
        <v>94.1667742875027</v>
      </c>
      <c r="K170" s="1224">
        <f t="shared" si="18"/>
        <v>0.582426764408057</v>
      </c>
      <c r="L170" s="1182">
        <f t="shared" si="19"/>
        <v>14.793639738103387</v>
      </c>
      <c r="M170" s="1199">
        <f t="shared" si="20"/>
        <v>0.28606227577785176</v>
      </c>
      <c r="N170" s="1205">
        <f t="shared" si="21"/>
        <v>0.020113510449187143</v>
      </c>
      <c r="O170" s="1206">
        <f t="shared" si="22"/>
        <v>1972.3230874517442</v>
      </c>
      <c r="P170" s="1314">
        <f t="shared" si="23"/>
        <v>1.9723230874517441</v>
      </c>
      <c r="Q170" s="1201">
        <f t="shared" si="24"/>
        <v>19.72323087451744</v>
      </c>
    </row>
    <row r="171" spans="1:17" ht="15" customHeight="1">
      <c r="A171" s="1167">
        <v>54666.66666666667</v>
      </c>
      <c r="B171" s="1172">
        <v>16400</v>
      </c>
      <c r="C171" s="1224">
        <v>2.736547967862746</v>
      </c>
      <c r="D171" s="421">
        <v>69.5083180178805</v>
      </c>
      <c r="E171" s="1197">
        <v>1.3440713705141734</v>
      </c>
      <c r="F171" s="1205">
        <v>0.09450387501036306</v>
      </c>
      <c r="G171" s="1206">
        <f t="shared" si="25"/>
        <v>9267.013583107555</v>
      </c>
      <c r="H171" s="1314">
        <f t="shared" si="26"/>
        <v>9.267013583107556</v>
      </c>
      <c r="I171" s="1201">
        <v>92.67013583107554</v>
      </c>
      <c r="K171" s="1224">
        <f t="shared" si="18"/>
        <v>0.5731699718688521</v>
      </c>
      <c r="L171" s="1182">
        <f t="shared" si="19"/>
        <v>14.55851720884507</v>
      </c>
      <c r="M171" s="1199">
        <f t="shared" si="20"/>
        <v>0.2815157485541936</v>
      </c>
      <c r="N171" s="1205">
        <f t="shared" si="21"/>
        <v>0.019793836620920543</v>
      </c>
      <c r="O171" s="1206">
        <f t="shared" si="22"/>
        <v>1940.9759949818774</v>
      </c>
      <c r="P171" s="1314">
        <f t="shared" si="23"/>
        <v>1.9409759949818775</v>
      </c>
      <c r="Q171" s="1201">
        <f t="shared" si="24"/>
        <v>19.40975994981877</v>
      </c>
    </row>
    <row r="172" spans="1:17" ht="15" customHeight="1">
      <c r="A172" s="1168">
        <v>55000</v>
      </c>
      <c r="B172" s="1173">
        <v>16500</v>
      </c>
      <c r="C172" s="1225">
        <v>2.693054676757154</v>
      </c>
      <c r="D172" s="427">
        <v>68.40358842961282</v>
      </c>
      <c r="E172" s="1198">
        <v>1.322709388896829</v>
      </c>
      <c r="F172" s="1207">
        <v>0.09300187884778809</v>
      </c>
      <c r="G172" s="1208">
        <f t="shared" si="25"/>
        <v>9119.728417934894</v>
      </c>
      <c r="H172" s="1315">
        <f t="shared" si="26"/>
        <v>9.119728417934894</v>
      </c>
      <c r="I172" s="1202">
        <v>91.19728417934894</v>
      </c>
      <c r="K172" s="1225">
        <f t="shared" si="18"/>
        <v>0.5640603020467859</v>
      </c>
      <c r="L172" s="1184">
        <f t="shared" si="19"/>
        <v>14.327131596582406</v>
      </c>
      <c r="M172" s="1198">
        <f t="shared" si="20"/>
        <v>0.27704148150444086</v>
      </c>
      <c r="N172" s="1207">
        <f t="shared" si="21"/>
        <v>0.019479243524669215</v>
      </c>
      <c r="O172" s="1208">
        <f t="shared" si="22"/>
        <v>1910.1271171364633</v>
      </c>
      <c r="P172" s="1315">
        <f t="shared" si="23"/>
        <v>1.9101271171364635</v>
      </c>
      <c r="Q172" s="1202">
        <f t="shared" si="24"/>
        <v>19.101271171364637</v>
      </c>
    </row>
    <row r="173" spans="1:17" ht="15" customHeight="1">
      <c r="A173" s="1165">
        <v>55333.333333333336</v>
      </c>
      <c r="B173" s="1174">
        <v>16600</v>
      </c>
      <c r="C173" s="1223">
        <v>2.6502526457330258</v>
      </c>
      <c r="D173" s="421">
        <v>67.31641684732193</v>
      </c>
      <c r="E173" s="1197">
        <v>1.3016869236687407</v>
      </c>
      <c r="F173" s="1205">
        <v>0.09152375464254968</v>
      </c>
      <c r="G173" s="1206">
        <f t="shared" si="25"/>
        <v>8974.784127703808</v>
      </c>
      <c r="H173" s="1314">
        <f t="shared" si="26"/>
        <v>8.974784127703808</v>
      </c>
      <c r="I173" s="1200">
        <v>89.74784127703808</v>
      </c>
      <c r="K173" s="1226">
        <f t="shared" si="18"/>
        <v>0.5550954166487823</v>
      </c>
      <c r="L173" s="1182">
        <f t="shared" si="19"/>
        <v>14.09942350867158</v>
      </c>
      <c r="M173" s="1199">
        <f t="shared" si="20"/>
        <v>0.27263832616241773</v>
      </c>
      <c r="N173" s="1205">
        <f t="shared" si="21"/>
        <v>0.01916965040988203</v>
      </c>
      <c r="O173" s="1206">
        <f t="shared" si="22"/>
        <v>1879.7685355475626</v>
      </c>
      <c r="P173" s="1314">
        <f t="shared" si="23"/>
        <v>1.8797685355475626</v>
      </c>
      <c r="Q173" s="1201">
        <f t="shared" si="24"/>
        <v>18.797685355475625</v>
      </c>
    </row>
    <row r="174" spans="1:17" ht="15" customHeight="1">
      <c r="A174" s="1166">
        <v>55666.66666666667</v>
      </c>
      <c r="B174" s="1172">
        <v>16700</v>
      </c>
      <c r="C174" s="1224">
        <v>2.6081308882568504</v>
      </c>
      <c r="D174" s="421">
        <v>66.24652421305808</v>
      </c>
      <c r="E174" s="1197">
        <v>1.2809985787303968</v>
      </c>
      <c r="F174" s="1205">
        <v>0.0900691229859907</v>
      </c>
      <c r="G174" s="1206">
        <f t="shared" si="25"/>
        <v>8832.143507747514</v>
      </c>
      <c r="H174" s="1314">
        <f t="shared" si="26"/>
        <v>8.832143507747514</v>
      </c>
      <c r="I174" s="1201">
        <v>88.32143507747514</v>
      </c>
      <c r="K174" s="1224">
        <f t="shared" si="18"/>
        <v>0.5462730145453973</v>
      </c>
      <c r="L174" s="1182">
        <f t="shared" si="19"/>
        <v>13.875334496425015</v>
      </c>
      <c r="M174" s="1199">
        <f t="shared" si="20"/>
        <v>0.2683051523150816</v>
      </c>
      <c r="N174" s="1205">
        <f t="shared" si="21"/>
        <v>0.01886497780941575</v>
      </c>
      <c r="O174" s="1206">
        <f t="shared" si="22"/>
        <v>1849.892457697717</v>
      </c>
      <c r="P174" s="1314">
        <f t="shared" si="23"/>
        <v>1.8498924576977167</v>
      </c>
      <c r="Q174" s="1201">
        <f t="shared" si="24"/>
        <v>18.498924576977167</v>
      </c>
    </row>
    <row r="175" spans="1:17" ht="15" customHeight="1">
      <c r="A175" s="1166">
        <v>56000</v>
      </c>
      <c r="B175" s="1172">
        <v>16800</v>
      </c>
      <c r="C175" s="1224">
        <v>2.5666785924094526</v>
      </c>
      <c r="D175" s="421">
        <v>65.1936359040757</v>
      </c>
      <c r="E175" s="1197">
        <v>1.260639043745127</v>
      </c>
      <c r="F175" s="1205">
        <v>0.08863761049958083</v>
      </c>
      <c r="G175" s="1206">
        <f t="shared" si="25"/>
        <v>8691.769944711146</v>
      </c>
      <c r="H175" s="1314">
        <f t="shared" si="26"/>
        <v>8.691769944711146</v>
      </c>
      <c r="I175" s="1201">
        <v>86.91769944711146</v>
      </c>
      <c r="K175" s="1224">
        <f t="shared" si="18"/>
        <v>0.5375908311801598</v>
      </c>
      <c r="L175" s="1182">
        <f t="shared" si="19"/>
        <v>13.654807040108656</v>
      </c>
      <c r="M175" s="1199">
        <f t="shared" si="20"/>
        <v>0.2640408477124168</v>
      </c>
      <c r="N175" s="1205">
        <f t="shared" si="21"/>
        <v>0.018565147519137203</v>
      </c>
      <c r="O175" s="1206">
        <f t="shared" si="22"/>
        <v>1820.4912149197496</v>
      </c>
      <c r="P175" s="1314">
        <f t="shared" si="23"/>
        <v>1.8204912149197494</v>
      </c>
      <c r="Q175" s="1201">
        <f t="shared" si="24"/>
        <v>18.204912149197494</v>
      </c>
    </row>
    <row r="176" spans="1:17" ht="15" customHeight="1">
      <c r="A176" s="1167">
        <v>56333.333333333336</v>
      </c>
      <c r="B176" s="1172">
        <v>16900</v>
      </c>
      <c r="C176" s="1224">
        <v>2.5258851181107573</v>
      </c>
      <c r="D176" s="421">
        <v>64.15748166234228</v>
      </c>
      <c r="E176" s="1197">
        <v>1.2406030927760292</v>
      </c>
      <c r="F176" s="1205">
        <v>0.0872288497390767</v>
      </c>
      <c r="G176" s="1206">
        <f t="shared" si="25"/>
        <v>8553.627407153726</v>
      </c>
      <c r="H176" s="1314">
        <f t="shared" si="26"/>
        <v>8.553627407153726</v>
      </c>
      <c r="I176" s="1201">
        <v>85.53627407153726</v>
      </c>
      <c r="K176" s="1224">
        <f t="shared" si="18"/>
        <v>0.5290466379882981</v>
      </c>
      <c r="L176" s="1182">
        <f t="shared" si="19"/>
        <v>13.43778453417759</v>
      </c>
      <c r="M176" s="1199">
        <f t="shared" si="20"/>
        <v>0.25984431778193934</v>
      </c>
      <c r="N176" s="1205">
        <f t="shared" si="21"/>
        <v>0.018270082577849615</v>
      </c>
      <c r="O176" s="1206">
        <f t="shared" si="22"/>
        <v>1791.557260428348</v>
      </c>
      <c r="P176" s="1314">
        <f t="shared" si="23"/>
        <v>1.791557260428348</v>
      </c>
      <c r="Q176" s="1201">
        <f t="shared" si="24"/>
        <v>17.91557260428348</v>
      </c>
    </row>
    <row r="177" spans="1:17" ht="15" customHeight="1">
      <c r="A177" s="1168">
        <v>56666.66666666667</v>
      </c>
      <c r="B177" s="1173">
        <v>17000</v>
      </c>
      <c r="C177" s="1225">
        <v>2.4857399943886698</v>
      </c>
      <c r="D177" s="427">
        <v>63.13779552516803</v>
      </c>
      <c r="E177" s="1198">
        <v>1.2208855829445648</v>
      </c>
      <c r="F177" s="1207">
        <v>0.08584247910020544</v>
      </c>
      <c r="G177" s="1208">
        <f t="shared" si="25"/>
        <v>8417.680436299539</v>
      </c>
      <c r="H177" s="1315">
        <f t="shared" si="26"/>
        <v>8.41768043629954</v>
      </c>
      <c r="I177" s="1202">
        <v>84.1768043629954</v>
      </c>
      <c r="K177" s="1225">
        <f t="shared" si="18"/>
        <v>0.5206382418247069</v>
      </c>
      <c r="L177" s="1184">
        <f t="shared" si="19"/>
        <v>13.224211272746444</v>
      </c>
      <c r="M177" s="1198">
        <f t="shared" si="20"/>
        <v>0.2557144853477391</v>
      </c>
      <c r="N177" s="1207">
        <f t="shared" si="21"/>
        <v>0.01797970724753803</v>
      </c>
      <c r="O177" s="1208">
        <f t="shared" si="22"/>
        <v>1763.0831673829384</v>
      </c>
      <c r="P177" s="1315">
        <f t="shared" si="23"/>
        <v>1.7630831673829386</v>
      </c>
      <c r="Q177" s="1202">
        <f t="shared" si="24"/>
        <v>17.630831673829388</v>
      </c>
    </row>
    <row r="178" spans="1:17" ht="15" customHeight="1">
      <c r="A178" s="1165">
        <v>57000</v>
      </c>
      <c r="B178" s="1174">
        <v>17100</v>
      </c>
      <c r="C178" s="1223">
        <v>2.446232916691364</v>
      </c>
      <c r="D178" s="421">
        <v>62.13431575693793</v>
      </c>
      <c r="E178" s="1197">
        <v>1.2014814531104734</v>
      </c>
      <c r="F178" s="1205">
        <v>0.08447814272584733</v>
      </c>
      <c r="G178" s="1206">
        <f t="shared" si="25"/>
        <v>8283.894136936495</v>
      </c>
      <c r="H178" s="1314">
        <f t="shared" si="26"/>
        <v>8.283894136936494</v>
      </c>
      <c r="I178" s="1200">
        <v>82.83894136936495</v>
      </c>
      <c r="K178" s="1226">
        <f t="shared" si="18"/>
        <v>0.5123634844010062</v>
      </c>
      <c r="L178" s="1182">
        <f t="shared" si="19"/>
        <v>13.01403243529065</v>
      </c>
      <c r="M178" s="1199">
        <f t="shared" si="20"/>
        <v>0.25165029035398867</v>
      </c>
      <c r="N178" s="1205">
        <f t="shared" si="21"/>
        <v>0.017693946993928723</v>
      </c>
      <c r="O178" s="1206">
        <f t="shared" si="22"/>
        <v>1735.0616269813488</v>
      </c>
      <c r="P178" s="1314">
        <f t="shared" si="23"/>
        <v>1.7350616269813488</v>
      </c>
      <c r="Q178" s="1201">
        <f t="shared" si="24"/>
        <v>17.35061626981349</v>
      </c>
    </row>
    <row r="179" spans="1:17" ht="15" customHeight="1">
      <c r="A179" s="1166">
        <v>57333.333333333336</v>
      </c>
      <c r="B179" s="1172">
        <v>17200</v>
      </c>
      <c r="C179" s="1224">
        <v>2.407353744242274</v>
      </c>
      <c r="D179" s="421">
        <v>61.14678478192858</v>
      </c>
      <c r="E179" s="1197">
        <v>1.182385722572661</v>
      </c>
      <c r="F179" s="1205">
        <v>0.08313549041469318</v>
      </c>
      <c r="G179" s="1206">
        <f t="shared" si="25"/>
        <v>8152.234168459097</v>
      </c>
      <c r="H179" s="1314">
        <f t="shared" si="26"/>
        <v>8.152234168459097</v>
      </c>
      <c r="I179" s="1201">
        <v>81.52234168459097</v>
      </c>
      <c r="K179" s="1224">
        <f t="shared" si="18"/>
        <v>0.5042202417315443</v>
      </c>
      <c r="L179" s="1182">
        <f t="shared" si="19"/>
        <v>12.80719407257494</v>
      </c>
      <c r="M179" s="1199">
        <f t="shared" si="20"/>
        <v>0.24765068959284386</v>
      </c>
      <c r="N179" s="1205">
        <f t="shared" si="21"/>
        <v>0.017412728467357485</v>
      </c>
      <c r="O179" s="1206">
        <f t="shared" si="22"/>
        <v>1707.485446583758</v>
      </c>
      <c r="P179" s="1314">
        <f t="shared" si="23"/>
        <v>1.707485446583758</v>
      </c>
      <c r="Q179" s="1201">
        <f t="shared" si="24"/>
        <v>17.07485446583758</v>
      </c>
    </row>
    <row r="180" spans="1:17" ht="15" customHeight="1">
      <c r="A180" s="1166">
        <v>57666.66666666667</v>
      </c>
      <c r="B180" s="1172">
        <v>17300</v>
      </c>
      <c r="C180" s="1224">
        <v>2.369092497437146</v>
      </c>
      <c r="D180" s="421">
        <v>60.174949118193254</v>
      </c>
      <c r="E180" s="1197">
        <v>1.1635934897907474</v>
      </c>
      <c r="F180" s="1205">
        <v>0.08181417753135407</v>
      </c>
      <c r="G180" s="1206">
        <f t="shared" si="25"/>
        <v>8022.666736053857</v>
      </c>
      <c r="H180" s="1314">
        <f t="shared" si="26"/>
        <v>8.022666736053857</v>
      </c>
      <c r="I180" s="1201">
        <v>80.22666736053857</v>
      </c>
      <c r="K180" s="1224">
        <f t="shared" si="18"/>
        <v>0.4962064235882102</v>
      </c>
      <c r="L180" s="1182">
        <f t="shared" si="19"/>
        <v>12.603643092805576</v>
      </c>
      <c r="M180" s="1199">
        <f t="shared" si="20"/>
        <v>0.24371465643667203</v>
      </c>
      <c r="N180" s="1205">
        <f t="shared" si="21"/>
        <v>0.01713597948394211</v>
      </c>
      <c r="O180" s="1206">
        <f t="shared" si="22"/>
        <v>1680.3475478664802</v>
      </c>
      <c r="P180" s="1314">
        <f t="shared" si="23"/>
        <v>1.6803475478664804</v>
      </c>
      <c r="Q180" s="1201">
        <f t="shared" si="24"/>
        <v>16.803475478664804</v>
      </c>
    </row>
    <row r="181" spans="1:17" ht="15" customHeight="1">
      <c r="A181" s="1167">
        <v>58000</v>
      </c>
      <c r="B181" s="1172">
        <v>17400</v>
      </c>
      <c r="C181" s="1224">
        <v>2.33143935528244</v>
      </c>
      <c r="D181" s="421">
        <v>59.21855931249735</v>
      </c>
      <c r="E181" s="1197">
        <v>1.1450999311269223</v>
      </c>
      <c r="F181" s="1205">
        <v>0.08051386491789937</v>
      </c>
      <c r="G181" s="1206">
        <f t="shared" si="25"/>
        <v>7895.158582024729</v>
      </c>
      <c r="H181" s="1314">
        <f t="shared" si="26"/>
        <v>7.895158582024729</v>
      </c>
      <c r="I181" s="1201">
        <v>78.95158582024729</v>
      </c>
      <c r="K181" s="1224">
        <f t="shared" si="18"/>
        <v>0.48831997296390706</v>
      </c>
      <c r="L181" s="1182">
        <f t="shared" si="19"/>
        <v>12.403327248002569</v>
      </c>
      <c r="M181" s="1199">
        <f t="shared" si="20"/>
        <v>0.23984118057453388</v>
      </c>
      <c r="N181" s="1205">
        <f t="shared" si="21"/>
        <v>0.016863629007054022</v>
      </c>
      <c r="O181" s="1206">
        <f t="shared" si="22"/>
        <v>1653.6409650050796</v>
      </c>
      <c r="P181" s="1314">
        <f t="shared" si="23"/>
        <v>1.6536409650050794</v>
      </c>
      <c r="Q181" s="1201">
        <f t="shared" si="24"/>
        <v>16.536409650050793</v>
      </c>
    </row>
    <row r="182" spans="1:17" ht="15" customHeight="1">
      <c r="A182" s="1168">
        <v>58333.333333333336</v>
      </c>
      <c r="B182" s="1173">
        <v>17500</v>
      </c>
      <c r="C182" s="1225">
        <v>2.294384652874453</v>
      </c>
      <c r="D182" s="427">
        <v>58.27736987628811</v>
      </c>
      <c r="E182" s="1198">
        <v>1.1269002996078028</v>
      </c>
      <c r="F182" s="1207">
        <v>0.07923421880680068</v>
      </c>
      <c r="G182" s="1208">
        <f t="shared" si="25"/>
        <v>7769.6769772564385</v>
      </c>
      <c r="H182" s="1315">
        <f t="shared" si="26"/>
        <v>7.769676977256439</v>
      </c>
      <c r="I182" s="1202">
        <v>77.69676977256438</v>
      </c>
      <c r="K182" s="1225">
        <f t="shared" si="18"/>
        <v>0.4805588655445542</v>
      </c>
      <c r="L182" s="1184">
        <f t="shared" si="19"/>
        <v>12.206195120588545</v>
      </c>
      <c r="M182" s="1198">
        <f t="shared" si="20"/>
        <v>0.2360292677528543</v>
      </c>
      <c r="N182" s="1207">
        <f t="shared" si="21"/>
        <v>0.0165956071290844</v>
      </c>
      <c r="O182" s="1208">
        <f t="shared" si="22"/>
        <v>1627.3588428863611</v>
      </c>
      <c r="P182" s="1315">
        <f t="shared" si="23"/>
        <v>1.627358842886361</v>
      </c>
      <c r="Q182" s="1202">
        <f t="shared" si="24"/>
        <v>16.273588428863608</v>
      </c>
    </row>
    <row r="183" spans="1:17" ht="15" customHeight="1">
      <c r="A183" s="1165">
        <v>58666.66666666667</v>
      </c>
      <c r="B183" s="1174">
        <v>17600</v>
      </c>
      <c r="C183" s="1223">
        <v>2.2579188789185123</v>
      </c>
      <c r="D183" s="421">
        <v>57.351139222682114</v>
      </c>
      <c r="E183" s="1197">
        <v>1.1089899237059688</v>
      </c>
      <c r="F183" s="1205">
        <v>0.07797491073525978</v>
      </c>
      <c r="G183" s="1206">
        <f t="shared" si="25"/>
        <v>7646.189712813506</v>
      </c>
      <c r="H183" s="1314">
        <f t="shared" si="26"/>
        <v>7.646189712813506</v>
      </c>
      <c r="I183" s="1200">
        <v>76.46189712813506</v>
      </c>
      <c r="K183" s="1226">
        <f t="shared" si="18"/>
        <v>0.4729211091894824</v>
      </c>
      <c r="L183" s="1182">
        <f t="shared" si="19"/>
        <v>12.012196110190768</v>
      </c>
      <c r="M183" s="1199">
        <f t="shared" si="20"/>
        <v>0.23227793952021517</v>
      </c>
      <c r="N183" s="1205">
        <f t="shared" si="21"/>
        <v>0.01633184505350016</v>
      </c>
      <c r="O183" s="1206">
        <f t="shared" si="22"/>
        <v>1601.4944353487888</v>
      </c>
      <c r="P183" s="1314">
        <f t="shared" si="23"/>
        <v>1.6014944353487888</v>
      </c>
      <c r="Q183" s="1201">
        <f t="shared" si="24"/>
        <v>16.014944353487888</v>
      </c>
    </row>
    <row r="184" spans="1:17" ht="15" customHeight="1">
      <c r="A184" s="1166">
        <v>59000</v>
      </c>
      <c r="B184" s="1172">
        <v>17700</v>
      </c>
      <c r="C184" s="1224">
        <v>2.222032673287586</v>
      </c>
      <c r="D184" s="421">
        <v>56.43962960445401</v>
      </c>
      <c r="E184" s="1197">
        <v>1.0913642061408633</v>
      </c>
      <c r="F184" s="1205">
        <v>0.07673561746089781</v>
      </c>
      <c r="G184" s="1206">
        <f t="shared" si="25"/>
        <v>7524.665091672766</v>
      </c>
      <c r="H184" s="1314">
        <f t="shared" si="26"/>
        <v>7.524665091672766</v>
      </c>
      <c r="I184" s="1201">
        <v>75.24665091672766</v>
      </c>
      <c r="K184" s="1224">
        <f t="shared" si="18"/>
        <v>0.4654047434200849</v>
      </c>
      <c r="L184" s="1182">
        <f t="shared" si="19"/>
        <v>11.821280420652892</v>
      </c>
      <c r="M184" s="1199">
        <f t="shared" si="20"/>
        <v>0.2285862329762038</v>
      </c>
      <c r="N184" s="1205">
        <f t="shared" si="21"/>
        <v>0.016072275077185047</v>
      </c>
      <c r="O184" s="1206">
        <f t="shared" si="22"/>
        <v>1576.0411034508609</v>
      </c>
      <c r="P184" s="1314">
        <f t="shared" si="23"/>
        <v>1.5760411034508608</v>
      </c>
      <c r="Q184" s="1201">
        <f t="shared" si="24"/>
        <v>15.760411034508609</v>
      </c>
    </row>
    <row r="185" spans="1:17" ht="15" customHeight="1">
      <c r="A185" s="1166">
        <v>59333.333333333336</v>
      </c>
      <c r="B185" s="1172">
        <v>17800</v>
      </c>
      <c r="C185" s="1224">
        <v>2.1867168246197064</v>
      </c>
      <c r="D185" s="421">
        <v>55.54260705301103</v>
      </c>
      <c r="E185" s="1197">
        <v>1.07401862269875</v>
      </c>
      <c r="F185" s="1205">
        <v>0.07551602087878462</v>
      </c>
      <c r="G185" s="1206">
        <f t="shared" si="25"/>
        <v>7405.071920587294</v>
      </c>
      <c r="H185" s="1314">
        <f t="shared" si="26"/>
        <v>7.405071920587294</v>
      </c>
      <c r="I185" s="1201">
        <v>74.05071920587294</v>
      </c>
      <c r="K185" s="1224">
        <f t="shared" si="18"/>
        <v>0.4580078389165975</v>
      </c>
      <c r="L185" s="1182">
        <f t="shared" si="19"/>
        <v>11.63339904725316</v>
      </c>
      <c r="M185" s="1199">
        <f t="shared" si="20"/>
        <v>0.2249532005242532</v>
      </c>
      <c r="N185" s="1205">
        <f t="shared" si="21"/>
        <v>0.01581683057306144</v>
      </c>
      <c r="O185" s="1206">
        <f t="shared" si="22"/>
        <v>1550.9923137670087</v>
      </c>
      <c r="P185" s="1314">
        <f t="shared" si="23"/>
        <v>1.5509923137670087</v>
      </c>
      <c r="Q185" s="1201">
        <f t="shared" si="24"/>
        <v>15.509923137670086</v>
      </c>
    </row>
    <row r="186" spans="1:17" ht="15" customHeight="1">
      <c r="A186" s="1167">
        <v>59666.66666666667</v>
      </c>
      <c r="B186" s="1172">
        <v>17900</v>
      </c>
      <c r="C186" s="1224">
        <v>2.151962267953571</v>
      </c>
      <c r="D186" s="421">
        <v>54.659841318337335</v>
      </c>
      <c r="E186" s="1197">
        <v>1.0569487210714281</v>
      </c>
      <c r="F186" s="1205">
        <v>0.0743158079397868</v>
      </c>
      <c r="G186" s="1206">
        <f t="shared" si="25"/>
        <v>7287.379502079645</v>
      </c>
      <c r="H186" s="1314">
        <f t="shared" si="26"/>
        <v>7.287379502079645</v>
      </c>
      <c r="I186" s="1201">
        <v>72.87379502079645</v>
      </c>
      <c r="K186" s="1224">
        <f t="shared" si="18"/>
        <v>0.45072849702287543</v>
      </c>
      <c r="L186" s="1182">
        <f t="shared" si="19"/>
        <v>11.448503764125755</v>
      </c>
      <c r="M186" s="1199">
        <f t="shared" si="20"/>
        <v>0.2213779096284106</v>
      </c>
      <c r="N186" s="1205">
        <f t="shared" si="21"/>
        <v>0.015565445972988345</v>
      </c>
      <c r="O186" s="1206">
        <f t="shared" si="22"/>
        <v>1526.3416367105817</v>
      </c>
      <c r="P186" s="1314">
        <f t="shared" si="23"/>
        <v>1.5263416367105815</v>
      </c>
      <c r="Q186" s="1201">
        <f t="shared" si="24"/>
        <v>15.263416367105817</v>
      </c>
    </row>
    <row r="187" spans="1:17" ht="15" customHeight="1">
      <c r="A187" s="1168">
        <v>60000</v>
      </c>
      <c r="B187" s="1173">
        <v>18000</v>
      </c>
      <c r="C187" s="1225">
        <v>2.1177600824017304</v>
      </c>
      <c r="D187" s="427">
        <v>53.79110580989287</v>
      </c>
      <c r="E187" s="1198">
        <v>1.040150119713402</v>
      </c>
      <c r="F187" s="1207">
        <v>0.07313467057021357</v>
      </c>
      <c r="G187" s="1208">
        <f t="shared" si="25"/>
        <v>7171.557626562362</v>
      </c>
      <c r="H187" s="1315">
        <f t="shared" si="26"/>
        <v>7.171557626562362</v>
      </c>
      <c r="I187" s="1202">
        <v>71.71557626562362</v>
      </c>
      <c r="K187" s="1225">
        <f t="shared" si="18"/>
        <v>0.44356484925904244</v>
      </c>
      <c r="L187" s="1184">
        <f t="shared" si="19"/>
        <v>11.266547111882062</v>
      </c>
      <c r="M187" s="1198">
        <f t="shared" si="20"/>
        <v>0.21785944257397205</v>
      </c>
      <c r="N187" s="1207">
        <f t="shared" si="21"/>
        <v>0.015318056750931232</v>
      </c>
      <c r="O187" s="1208">
        <f t="shared" si="22"/>
        <v>1502.0827448834868</v>
      </c>
      <c r="P187" s="1315">
        <f t="shared" si="23"/>
        <v>1.5020827448834866</v>
      </c>
      <c r="Q187" s="1202">
        <f t="shared" si="24"/>
        <v>15.020827448834869</v>
      </c>
    </row>
    <row r="188" spans="1:17" ht="15" customHeight="1">
      <c r="A188" s="1165">
        <v>60333.333333333336</v>
      </c>
      <c r="B188" s="1174">
        <v>18100</v>
      </c>
      <c r="C188" s="1223">
        <v>2.0841014888607443</v>
      </c>
      <c r="D188" s="421">
        <v>52.936177538451446</v>
      </c>
      <c r="E188" s="1197">
        <v>1.0236185067172137</v>
      </c>
      <c r="F188" s="1205">
        <v>0.07197230559273933</v>
      </c>
      <c r="G188" s="1206">
        <f t="shared" si="25"/>
        <v>7057.5765645836755</v>
      </c>
      <c r="H188" s="1314">
        <f t="shared" si="26"/>
        <v>7.057576564583676</v>
      </c>
      <c r="I188" s="1200">
        <v>70.57576564583675</v>
      </c>
      <c r="K188" s="1226">
        <f t="shared" si="18"/>
        <v>0.4365150568418829</v>
      </c>
      <c r="L188" s="1182">
        <f t="shared" si="19"/>
        <v>11.087482385428656</v>
      </c>
      <c r="M188" s="1199">
        <f t="shared" si="20"/>
        <v>0.2143968962319204</v>
      </c>
      <c r="N188" s="1205">
        <f t="shared" si="21"/>
        <v>0.015074599406399252</v>
      </c>
      <c r="O188" s="1206">
        <f t="shared" si="22"/>
        <v>1478.2094114520507</v>
      </c>
      <c r="P188" s="1314">
        <f t="shared" si="23"/>
        <v>1.478209411452051</v>
      </c>
      <c r="Q188" s="1201">
        <f t="shared" si="24"/>
        <v>14.782094114520508</v>
      </c>
    </row>
    <row r="189" spans="1:17" ht="15" customHeight="1">
      <c r="A189" s="1166">
        <v>60666.66666666667</v>
      </c>
      <c r="B189" s="1172">
        <v>18200</v>
      </c>
      <c r="C189" s="1224">
        <v>2.050977847757748</v>
      </c>
      <c r="D189" s="421">
        <v>52.09483705886345</v>
      </c>
      <c r="E189" s="1197">
        <v>1.0073496387066543</v>
      </c>
      <c r="F189" s="1205">
        <v>0.07082841464858369</v>
      </c>
      <c r="G189" s="1206">
        <f t="shared" si="25"/>
        <v>6945.407059196499</v>
      </c>
      <c r="H189" s="1314">
        <f t="shared" si="26"/>
        <v>6.9454070591965</v>
      </c>
      <c r="I189" s="1201">
        <v>69.45407059196499</v>
      </c>
      <c r="K189" s="1224">
        <f t="shared" si="18"/>
        <v>0.42957731021286033</v>
      </c>
      <c r="L189" s="1182">
        <f t="shared" si="19"/>
        <v>10.911263621978948</v>
      </c>
      <c r="M189" s="1199">
        <f t="shared" si="20"/>
        <v>0.21098938182710875</v>
      </c>
      <c r="N189" s="1205">
        <f t="shared" si="21"/>
        <v>0.014835011448145854</v>
      </c>
      <c r="O189" s="1206">
        <f t="shared" si="22"/>
        <v>1454.7155085487068</v>
      </c>
      <c r="P189" s="1314">
        <f t="shared" si="23"/>
        <v>1.454715508548707</v>
      </c>
      <c r="Q189" s="1201">
        <f t="shared" si="24"/>
        <v>14.547155085487068</v>
      </c>
    </row>
    <row r="190" spans="1:17" ht="15" customHeight="1">
      <c r="A190" s="1166">
        <v>61000</v>
      </c>
      <c r="B190" s="1172">
        <v>18300</v>
      </c>
      <c r="C190" s="1224">
        <v>2.018380656832819</v>
      </c>
      <c r="D190" s="421">
        <v>51.26686841372798</v>
      </c>
      <c r="E190" s="1197">
        <v>0.9913393397475609</v>
      </c>
      <c r="F190" s="1205">
        <v>0.0697027041209278</v>
      </c>
      <c r="G190" s="1206">
        <f t="shared" si="25"/>
        <v>6835.020318448667</v>
      </c>
      <c r="H190" s="1314">
        <f t="shared" si="26"/>
        <v>6.8350203184486675</v>
      </c>
      <c r="I190" s="1201">
        <v>68.35020318448667</v>
      </c>
      <c r="K190" s="1224">
        <f t="shared" si="18"/>
        <v>0.4227498285736339</v>
      </c>
      <c r="L190" s="1182">
        <f t="shared" si="19"/>
        <v>10.737845589255324</v>
      </c>
      <c r="M190" s="1199">
        <f t="shared" si="20"/>
        <v>0.20763602471012663</v>
      </c>
      <c r="N190" s="1205">
        <f t="shared" si="21"/>
        <v>0.014599231378128328</v>
      </c>
      <c r="O190" s="1206">
        <f t="shared" si="22"/>
        <v>1431.5950056990732</v>
      </c>
      <c r="P190" s="1314">
        <f t="shared" si="23"/>
        <v>1.4315950056990734</v>
      </c>
      <c r="Q190" s="1201">
        <f t="shared" si="24"/>
        <v>14.315950056990733</v>
      </c>
    </row>
    <row r="191" spans="1:17" ht="15" customHeight="1">
      <c r="A191" s="1167">
        <v>61333.333333333336</v>
      </c>
      <c r="B191" s="1172">
        <v>18400</v>
      </c>
      <c r="C191" s="1224">
        <v>1.9863015489565965</v>
      </c>
      <c r="D191" s="421">
        <v>50.4520590779604</v>
      </c>
      <c r="E191" s="1197">
        <v>0.975583500275929</v>
      </c>
      <c r="F191" s="1205">
        <v>0.06859488505954801</v>
      </c>
      <c r="G191" s="1206">
        <f t="shared" si="25"/>
        <v>6726.38800799255</v>
      </c>
      <c r="H191" s="1314">
        <f t="shared" si="26"/>
        <v>6.726388007992551</v>
      </c>
      <c r="I191" s="1201">
        <v>67.2638800799255</v>
      </c>
      <c r="K191" s="1224">
        <f t="shared" si="18"/>
        <v>0.4160308594289591</v>
      </c>
      <c r="L191" s="1182">
        <f t="shared" si="19"/>
        <v>10.567183773878806</v>
      </c>
      <c r="M191" s="1199">
        <f t="shared" si="20"/>
        <v>0.2043359641327933</v>
      </c>
      <c r="N191" s="1205">
        <f t="shared" si="21"/>
        <v>0.014367198675722332</v>
      </c>
      <c r="O191" s="1206">
        <f t="shared" si="22"/>
        <v>1408.8419682740396</v>
      </c>
      <c r="P191" s="1314">
        <f t="shared" si="23"/>
        <v>1.4088419682740396</v>
      </c>
      <c r="Q191" s="1201">
        <f t="shared" si="24"/>
        <v>14.088419682740396</v>
      </c>
    </row>
    <row r="192" spans="1:17" ht="15" customHeight="1">
      <c r="A192" s="1168">
        <v>61666.66666666667</v>
      </c>
      <c r="B192" s="1173">
        <v>18500</v>
      </c>
      <c r="C192" s="1225">
        <v>1.954732289982587</v>
      </c>
      <c r="D192" s="427">
        <v>49.65019990424087</v>
      </c>
      <c r="E192" s="1198">
        <v>0.9600780760430576</v>
      </c>
      <c r="F192" s="1207">
        <v>0.0675046731066475</v>
      </c>
      <c r="G192" s="1208">
        <f t="shared" si="25"/>
        <v>6619.482243812114</v>
      </c>
      <c r="H192" s="1315">
        <f t="shared" si="26"/>
        <v>6.619482243812113</v>
      </c>
      <c r="I192" s="1202">
        <v>66.19482243812114</v>
      </c>
      <c r="K192" s="1225">
        <f t="shared" si="18"/>
        <v>0.40941867813685284</v>
      </c>
      <c r="L192" s="1184">
        <f t="shared" si="19"/>
        <v>10.399234369943251</v>
      </c>
      <c r="M192" s="1198">
        <f t="shared" si="20"/>
        <v>0.20108835302721842</v>
      </c>
      <c r="N192" s="1207">
        <f t="shared" si="21"/>
        <v>0.014138853782187318</v>
      </c>
      <c r="O192" s="1208">
        <f t="shared" si="22"/>
        <v>1386.4505559664472</v>
      </c>
      <c r="P192" s="1315">
        <f t="shared" si="23"/>
        <v>1.386450555966447</v>
      </c>
      <c r="Q192" s="1202">
        <f t="shared" si="24"/>
        <v>13.864505559664472</v>
      </c>
    </row>
    <row r="193" spans="1:17" ht="15" customHeight="1">
      <c r="A193" s="1165">
        <v>62000</v>
      </c>
      <c r="B193" s="1174">
        <v>18600</v>
      </c>
      <c r="C193" s="1223">
        <v>1.923664776633602</v>
      </c>
      <c r="D193" s="421">
        <v>48.86108506932989</v>
      </c>
      <c r="E193" s="1197">
        <v>0.9448190870774631</v>
      </c>
      <c r="F193" s="1205">
        <v>0.06643178842386654</v>
      </c>
      <c r="G193" s="1206">
        <f t="shared" si="25"/>
        <v>6514.275585065593</v>
      </c>
      <c r="H193" s="1314">
        <f t="shared" si="26"/>
        <v>6.514275585065593</v>
      </c>
      <c r="I193" s="1200">
        <v>65.14275585065593</v>
      </c>
      <c r="K193" s="1226">
        <f t="shared" si="18"/>
        <v>0.40291158746590794</v>
      </c>
      <c r="L193" s="1182">
        <f t="shared" si="19"/>
        <v>10.233954267771145</v>
      </c>
      <c r="M193" s="1199">
        <f t="shared" si="20"/>
        <v>0.19789235778837463</v>
      </c>
      <c r="N193" s="1205">
        <f t="shared" si="21"/>
        <v>0.013914138085378848</v>
      </c>
      <c r="O193" s="1206">
        <f t="shared" si="22"/>
        <v>1364.4150212919885</v>
      </c>
      <c r="P193" s="1314">
        <f t="shared" si="23"/>
        <v>1.3644150212919883</v>
      </c>
      <c r="Q193" s="1201">
        <f t="shared" si="24"/>
        <v>13.644150212919884</v>
      </c>
    </row>
    <row r="194" spans="1:17" ht="15" customHeight="1">
      <c r="A194" s="1166">
        <v>62333.333333333336</v>
      </c>
      <c r="B194" s="1172">
        <v>18700</v>
      </c>
      <c r="C194" s="1224">
        <v>1.8930910344217873</v>
      </c>
      <c r="D194" s="421">
        <v>48.08451202123702</v>
      </c>
      <c r="E194" s="1197">
        <v>0.9298026166632885</v>
      </c>
      <c r="F194" s="1205">
        <v>0.06537595562045292</v>
      </c>
      <c r="G194" s="1206">
        <f t="shared" si="25"/>
        <v>6410.741027041897</v>
      </c>
      <c r="H194" s="1314">
        <f t="shared" si="26"/>
        <v>6.4107410270418965</v>
      </c>
      <c r="I194" s="1201">
        <v>64.10741027041897</v>
      </c>
      <c r="K194" s="1224">
        <f t="shared" si="18"/>
        <v>0.39650791715964334</v>
      </c>
      <c r="L194" s="1182">
        <f t="shared" si="19"/>
        <v>10.071301042848093</v>
      </c>
      <c r="M194" s="1199">
        <f t="shared" si="20"/>
        <v>0.19474715806012577</v>
      </c>
      <c r="N194" s="1205">
        <f t="shared" si="21"/>
        <v>0.013692993904703864</v>
      </c>
      <c r="O194" s="1206">
        <f t="shared" si="22"/>
        <v>1342.7297081139252</v>
      </c>
      <c r="P194" s="1314">
        <f t="shared" si="23"/>
        <v>1.3427297081139251</v>
      </c>
      <c r="Q194" s="1201">
        <f t="shared" si="24"/>
        <v>13.427297081139253</v>
      </c>
    </row>
    <row r="195" spans="1:17" ht="15" customHeight="1">
      <c r="A195" s="1166">
        <v>62666.66666666667</v>
      </c>
      <c r="B195" s="1172">
        <v>18800</v>
      </c>
      <c r="C195" s="1224">
        <v>1.8630032156017138</v>
      </c>
      <c r="D195" s="421">
        <v>47.32028142722942</v>
      </c>
      <c r="E195" s="1197">
        <v>0.915024810334952</v>
      </c>
      <c r="F195" s="1205">
        <v>0.0643369036825739</v>
      </c>
      <c r="G195" s="1206">
        <f t="shared" si="25"/>
        <v>6308.851994228975</v>
      </c>
      <c r="H195" s="1314">
        <f t="shared" si="26"/>
        <v>6.308851994228975</v>
      </c>
      <c r="I195" s="1201">
        <v>63.08851994228975</v>
      </c>
      <c r="K195" s="1224">
        <f t="shared" si="18"/>
        <v>0.39020602350777894</v>
      </c>
      <c r="L195" s="1182">
        <f t="shared" si="19"/>
        <v>9.911232944933202</v>
      </c>
      <c r="M195" s="1199">
        <f t="shared" si="20"/>
        <v>0.1916519465246557</v>
      </c>
      <c r="N195" s="1205">
        <f t="shared" si="21"/>
        <v>0.013475364476315104</v>
      </c>
      <c r="O195" s="1206">
        <f t="shared" si="22"/>
        <v>1321.3890501912588</v>
      </c>
      <c r="P195" s="1314">
        <f t="shared" si="23"/>
        <v>1.3213890501912589</v>
      </c>
      <c r="Q195" s="1201">
        <f t="shared" si="24"/>
        <v>13.213890501912587</v>
      </c>
    </row>
    <row r="196" spans="1:17" ht="15" customHeight="1">
      <c r="A196" s="1167">
        <v>63000</v>
      </c>
      <c r="B196" s="1172">
        <v>18900</v>
      </c>
      <c r="C196" s="1224">
        <v>1.833393597155996</v>
      </c>
      <c r="D196" s="421">
        <v>46.568197122666525</v>
      </c>
      <c r="E196" s="1197">
        <v>0.9004818748877726</v>
      </c>
      <c r="F196" s="1205">
        <v>0.06331436590375175</v>
      </c>
      <c r="G196" s="1206">
        <f t="shared" si="25"/>
        <v>6208.58233349235</v>
      </c>
      <c r="H196" s="1314">
        <f t="shared" si="26"/>
        <v>6.20858233349235</v>
      </c>
      <c r="I196" s="1201">
        <v>62.0858233349235</v>
      </c>
      <c r="K196" s="1224">
        <f t="shared" si="18"/>
        <v>0.38400428892432337</v>
      </c>
      <c r="L196" s="1182">
        <f t="shared" si="19"/>
        <v>9.753708887342503</v>
      </c>
      <c r="M196" s="1199">
        <f t="shared" si="20"/>
        <v>0.18860592869524398</v>
      </c>
      <c r="N196" s="1205">
        <f t="shared" si="21"/>
        <v>0.013261193938540803</v>
      </c>
      <c r="O196" s="1206">
        <f t="shared" si="22"/>
        <v>1300.3875697499727</v>
      </c>
      <c r="P196" s="1314">
        <f t="shared" si="23"/>
        <v>1.3003875697499727</v>
      </c>
      <c r="Q196" s="1201">
        <f t="shared" si="24"/>
        <v>13.003875697499726</v>
      </c>
    </row>
    <row r="197" spans="1:17" ht="15" customHeight="1">
      <c r="A197" s="1168">
        <v>63333.333333333336</v>
      </c>
      <c r="B197" s="1173">
        <v>19000</v>
      </c>
      <c r="C197" s="1225">
        <v>1.8042545788129294</v>
      </c>
      <c r="D197" s="427">
        <v>45.82806606064806</v>
      </c>
      <c r="E197" s="1198">
        <v>0.8861700774043209</v>
      </c>
      <c r="F197" s="1207">
        <v>0.0623080798164048</v>
      </c>
      <c r="G197" s="1208">
        <f t="shared" si="25"/>
        <v>6109.906307362059</v>
      </c>
      <c r="H197" s="1315">
        <f t="shared" si="26"/>
        <v>6.109906307362059</v>
      </c>
      <c r="I197" s="1202">
        <v>61.09906307362059</v>
      </c>
      <c r="K197" s="1225">
        <f t="shared" si="18"/>
        <v>0.37790112153236805</v>
      </c>
      <c r="L197" s="1184">
        <f t="shared" si="19"/>
        <v>9.598688436402737</v>
      </c>
      <c r="M197" s="1198">
        <f t="shared" si="20"/>
        <v>0.185608322712335</v>
      </c>
      <c r="N197" s="1207">
        <f t="shared" si="21"/>
        <v>0.013050427317545986</v>
      </c>
      <c r="O197" s="1208">
        <f t="shared" si="22"/>
        <v>1279.7198760769832</v>
      </c>
      <c r="P197" s="1315">
        <f t="shared" si="23"/>
        <v>1.2797198760769832</v>
      </c>
      <c r="Q197" s="1202">
        <f t="shared" si="24"/>
        <v>12.797198760769833</v>
      </c>
    </row>
    <row r="198" spans="1:17" ht="15" customHeight="1">
      <c r="A198" s="1165">
        <v>63666.66666666667</v>
      </c>
      <c r="B198" s="1174">
        <v>19100</v>
      </c>
      <c r="C198" s="1223">
        <v>1.775578681095632</v>
      </c>
      <c r="D198" s="421">
        <v>45.09969826246222</v>
      </c>
      <c r="E198" s="1197">
        <v>0.8720857442962431</v>
      </c>
      <c r="F198" s="1205">
        <v>0.0613177871244766</v>
      </c>
      <c r="G198" s="1206">
        <f t="shared" si="25"/>
        <v>6012.798587426296</v>
      </c>
      <c r="H198" s="1314">
        <f t="shared" si="26"/>
        <v>6.012798587426296</v>
      </c>
      <c r="I198" s="1200">
        <v>60.127985874262954</v>
      </c>
      <c r="K198" s="1226">
        <f t="shared" si="18"/>
        <v>0.3718949547554801</v>
      </c>
      <c r="L198" s="1182">
        <f t="shared" si="19"/>
        <v>9.446131801072712</v>
      </c>
      <c r="M198" s="1199">
        <f t="shared" si="20"/>
        <v>0.18265835914284811</v>
      </c>
      <c r="N198" s="1205">
        <f t="shared" si="21"/>
        <v>0.012843010513221623</v>
      </c>
      <c r="O198" s="1206">
        <f t="shared" si="22"/>
        <v>1259.3806641364376</v>
      </c>
      <c r="P198" s="1314">
        <f t="shared" si="23"/>
        <v>1.2593806641364378</v>
      </c>
      <c r="Q198" s="1201">
        <f t="shared" si="24"/>
        <v>12.593806641364376</v>
      </c>
    </row>
    <row r="199" spans="1:17" ht="15" customHeight="1">
      <c r="A199" s="1166">
        <v>64000</v>
      </c>
      <c r="B199" s="1172">
        <v>19200</v>
      </c>
      <c r="C199" s="1224">
        <v>1.7473585434021974</v>
      </c>
      <c r="D199" s="421">
        <v>44.38290676882157</v>
      </c>
      <c r="E199" s="1197">
        <v>0.8582252603613181</v>
      </c>
      <c r="F199" s="1205">
        <v>0.060343233637135965</v>
      </c>
      <c r="G199" s="1206">
        <f t="shared" si="25"/>
        <v>5917.23424783006</v>
      </c>
      <c r="H199" s="1314">
        <f t="shared" si="26"/>
        <v>5.91723424783006</v>
      </c>
      <c r="I199" s="1201">
        <v>59.1723424783006</v>
      </c>
      <c r="K199" s="1224">
        <f aca="true" t="shared" si="27" ref="K199:K262">C199*$S$7</f>
        <v>0.36598424691559023</v>
      </c>
      <c r="L199" s="1182">
        <f aca="true" t="shared" si="28" ref="L199:L262">D199*$S$7</f>
        <v>9.295999822729678</v>
      </c>
      <c r="M199" s="1199">
        <f aca="true" t="shared" si="29" ref="M199:M262">E199*$S$7</f>
        <v>0.17975528078267808</v>
      </c>
      <c r="N199" s="1205">
        <f aca="true" t="shared" si="30" ref="N199:N262">F199*$S$7</f>
        <v>0.012638890285298127</v>
      </c>
      <c r="O199" s="1206">
        <f aca="true" t="shared" si="31" ref="O199:O262">G199*$S$7</f>
        <v>1239.364713208006</v>
      </c>
      <c r="P199" s="1314">
        <f aca="true" t="shared" si="32" ref="P199:P262">H199*$S$7</f>
        <v>1.2393647132080061</v>
      </c>
      <c r="Q199" s="1201">
        <f aca="true" t="shared" si="33" ref="Q199:Q262">I199*$S$7</f>
        <v>12.39364713208006</v>
      </c>
    </row>
    <row r="200" spans="1:17" ht="15" customHeight="1">
      <c r="A200" s="1166">
        <v>64333.333333333336</v>
      </c>
      <c r="B200" s="1172">
        <v>19300</v>
      </c>
      <c r="C200" s="1224">
        <v>1.719586922116351</v>
      </c>
      <c r="D200" s="421">
        <v>43.6775075918737</v>
      </c>
      <c r="E200" s="1197">
        <v>0.8445850678554945</v>
      </c>
      <c r="F200" s="1205">
        <v>0.05938416920353039</v>
      </c>
      <c r="G200" s="1206">
        <f aca="true" t="shared" si="34" ref="G200:G263">I200*100</f>
        <v>5823.188758877108</v>
      </c>
      <c r="H200" s="1314">
        <f aca="true" t="shared" si="35" ref="H200:H263">G200/1000</f>
        <v>5.823188758877108</v>
      </c>
      <c r="I200" s="1201">
        <v>58.23188758877108</v>
      </c>
      <c r="K200" s="1224">
        <f t="shared" si="27"/>
        <v>0.3601674808372697</v>
      </c>
      <c r="L200" s="1182">
        <f t="shared" si="28"/>
        <v>9.148253965117947</v>
      </c>
      <c r="M200" s="1199">
        <f t="shared" si="29"/>
        <v>0.17689834246233332</v>
      </c>
      <c r="N200" s="1205">
        <f t="shared" si="30"/>
        <v>0.01243801423967944</v>
      </c>
      <c r="O200" s="1206">
        <f t="shared" si="31"/>
        <v>1219.6668855468101</v>
      </c>
      <c r="P200" s="1314">
        <f t="shared" si="32"/>
        <v>1.2196668855468102</v>
      </c>
      <c r="Q200" s="1201">
        <f t="shared" si="33"/>
        <v>12.196668855468102</v>
      </c>
    </row>
    <row r="201" spans="1:17" ht="15" customHeight="1">
      <c r="A201" s="1167">
        <v>64666.66666666667</v>
      </c>
      <c r="B201" s="1172">
        <v>19400</v>
      </c>
      <c r="C201" s="1224">
        <v>1.6922566887481456</v>
      </c>
      <c r="D201" s="421">
        <v>42.983319667974904</v>
      </c>
      <c r="E201" s="1197">
        <v>0.8311616655796831</v>
      </c>
      <c r="F201" s="1205">
        <v>0.05844034764857694</v>
      </c>
      <c r="G201" s="1206">
        <f t="shared" si="34"/>
        <v>5730.637980733628</v>
      </c>
      <c r="H201" s="1314">
        <f t="shared" si="35"/>
        <v>5.730637980733628</v>
      </c>
      <c r="I201" s="1201">
        <v>57.30637980733628</v>
      </c>
      <c r="K201" s="1224">
        <f t="shared" si="27"/>
        <v>0.35444316345829907</v>
      </c>
      <c r="L201" s="1182">
        <f t="shared" si="28"/>
        <v>9.002856304457344</v>
      </c>
      <c r="M201" s="1199">
        <f t="shared" si="29"/>
        <v>0.17408681085566463</v>
      </c>
      <c r="N201" s="1205">
        <f t="shared" si="30"/>
        <v>0.012240330814994439</v>
      </c>
      <c r="O201" s="1206">
        <f t="shared" si="31"/>
        <v>1200.2821250646584</v>
      </c>
      <c r="P201" s="1314">
        <f t="shared" si="32"/>
        <v>1.2002821250646585</v>
      </c>
      <c r="Q201" s="1201">
        <f t="shared" si="33"/>
        <v>12.002821250646583</v>
      </c>
    </row>
    <row r="202" spans="1:17" ht="15" customHeight="1">
      <c r="A202" s="1168">
        <v>65000</v>
      </c>
      <c r="B202" s="1173">
        <v>19500</v>
      </c>
      <c r="C202" s="1225">
        <v>1.6653608281042003</v>
      </c>
      <c r="D202" s="427">
        <v>42.300164811214245</v>
      </c>
      <c r="E202" s="1198">
        <v>0.8179516079810585</v>
      </c>
      <c r="F202" s="1207">
        <v>0.05751152670977327</v>
      </c>
      <c r="G202" s="1208">
        <f t="shared" si="34"/>
        <v>5639.558157231952</v>
      </c>
      <c r="H202" s="1315">
        <f t="shared" si="35"/>
        <v>5.639558157231952</v>
      </c>
      <c r="I202" s="1202">
        <v>56.395581572319514</v>
      </c>
      <c r="K202" s="1225">
        <f t="shared" si="27"/>
        <v>0.34880982544642475</v>
      </c>
      <c r="L202" s="1184">
        <f t="shared" si="28"/>
        <v>8.859769519708824</v>
      </c>
      <c r="M202" s="1198">
        <f t="shared" si="29"/>
        <v>0.1713199642916327</v>
      </c>
      <c r="N202" s="1207">
        <f t="shared" si="30"/>
        <v>0.012045789269362011</v>
      </c>
      <c r="O202" s="1208">
        <f t="shared" si="31"/>
        <v>1181.2054560322322</v>
      </c>
      <c r="P202" s="1315">
        <f t="shared" si="32"/>
        <v>1.1812054560322323</v>
      </c>
      <c r="Q202" s="1202">
        <f t="shared" si="33"/>
        <v>11.812054560322322</v>
      </c>
    </row>
    <row r="203" spans="1:17" ht="15" customHeight="1">
      <c r="A203" s="1165">
        <v>65333.333333333336</v>
      </c>
      <c r="B203" s="1174">
        <v>19600</v>
      </c>
      <c r="C203" s="1223">
        <v>1.6388924364870212</v>
      </c>
      <c r="D203" s="421">
        <v>41.6278676676763</v>
      </c>
      <c r="E203" s="1197">
        <v>0.8049515042686459</v>
      </c>
      <c r="F203" s="1205">
        <v>0.05659746797501306</v>
      </c>
      <c r="G203" s="1206">
        <f t="shared" si="34"/>
        <v>5549.9259097727645</v>
      </c>
      <c r="H203" s="1314">
        <f t="shared" si="35"/>
        <v>5.549925909772765</v>
      </c>
      <c r="I203" s="1200">
        <v>55.499259097727645</v>
      </c>
      <c r="K203" s="1226">
        <f t="shared" si="27"/>
        <v>0.3432660208222066</v>
      </c>
      <c r="L203" s="1182">
        <f t="shared" si="28"/>
        <v>8.718956882994801</v>
      </c>
      <c r="M203" s="1199">
        <f t="shared" si="29"/>
        <v>0.16859709256906788</v>
      </c>
      <c r="N203" s="1205">
        <f t="shared" si="30"/>
        <v>0.011854339667366485</v>
      </c>
      <c r="O203" s="1206">
        <f t="shared" si="31"/>
        <v>1162.4319818019055</v>
      </c>
      <c r="P203" s="1314">
        <f t="shared" si="32"/>
        <v>1.1624319818019055</v>
      </c>
      <c r="Q203" s="1201">
        <f t="shared" si="33"/>
        <v>11.624319818019055</v>
      </c>
    </row>
    <row r="204" spans="1:17" ht="15" customHeight="1">
      <c r="A204" s="1166">
        <v>65666.66666666667</v>
      </c>
      <c r="B204" s="1172">
        <v>19700</v>
      </c>
      <c r="C204" s="1224">
        <v>1.612879350143024</v>
      </c>
      <c r="D204" s="421">
        <v>40.967135278016315</v>
      </c>
      <c r="E204" s="1197">
        <v>0.7921750263759575</v>
      </c>
      <c r="F204" s="1205">
        <v>0.05569913274049245</v>
      </c>
      <c r="G204" s="1206">
        <f t="shared" si="34"/>
        <v>5461.835502690794</v>
      </c>
      <c r="H204" s="1314">
        <f t="shared" si="35"/>
        <v>5.461835502690794</v>
      </c>
      <c r="I204" s="1201">
        <v>54.618355026907935</v>
      </c>
      <c r="K204" s="1224">
        <f t="shared" si="27"/>
        <v>0.33781757988745637</v>
      </c>
      <c r="L204" s="1182">
        <f t="shared" si="28"/>
        <v>8.580566483980517</v>
      </c>
      <c r="M204" s="1199">
        <f t="shared" si="29"/>
        <v>0.16592105927444428</v>
      </c>
      <c r="N204" s="1205">
        <f t="shared" si="30"/>
        <v>0.011666183352496143</v>
      </c>
      <c r="O204" s="1206">
        <f t="shared" si="31"/>
        <v>1143.9814460385867</v>
      </c>
      <c r="P204" s="1314">
        <f t="shared" si="32"/>
        <v>1.1439814460385866</v>
      </c>
      <c r="Q204" s="1201">
        <f t="shared" si="33"/>
        <v>11.439814460385866</v>
      </c>
    </row>
    <row r="205" spans="1:17" ht="15" customHeight="1">
      <c r="A205" s="1166">
        <v>66000</v>
      </c>
      <c r="B205" s="1172">
        <v>19800</v>
      </c>
      <c r="C205" s="1224">
        <v>1.587252809018425</v>
      </c>
      <c r="D205" s="421">
        <v>40.31622113687736</v>
      </c>
      <c r="E205" s="1197">
        <v>0.7795884024046705</v>
      </c>
      <c r="F205" s="1205">
        <v>0.05481414644833603</v>
      </c>
      <c r="G205" s="1206">
        <f t="shared" si="34"/>
        <v>5375.054087755393</v>
      </c>
      <c r="H205" s="1314">
        <f t="shared" si="35"/>
        <v>5.375054087755393</v>
      </c>
      <c r="I205" s="1201">
        <v>53.75054087755393</v>
      </c>
      <c r="K205" s="1224">
        <f t="shared" si="27"/>
        <v>0.33245010084890914</v>
      </c>
      <c r="L205" s="1182">
        <f t="shared" si="28"/>
        <v>8.444232517118962</v>
      </c>
      <c r="M205" s="1199">
        <f t="shared" si="29"/>
        <v>0.16328479088365824</v>
      </c>
      <c r="N205" s="1205">
        <f t="shared" si="30"/>
        <v>0.01148082297360398</v>
      </c>
      <c r="O205" s="1206">
        <f t="shared" si="31"/>
        <v>1125.8050786803672</v>
      </c>
      <c r="P205" s="1314">
        <f t="shared" si="32"/>
        <v>1.125805078680367</v>
      </c>
      <c r="Q205" s="1201">
        <f t="shared" si="33"/>
        <v>11.25805078680367</v>
      </c>
    </row>
    <row r="206" spans="1:17" ht="15" customHeight="1">
      <c r="A206" s="1167">
        <v>66333.33333333334</v>
      </c>
      <c r="B206" s="1172">
        <v>19900</v>
      </c>
      <c r="C206" s="1224">
        <v>1.5620451634535923</v>
      </c>
      <c r="D206" s="421">
        <v>39.675946942900474</v>
      </c>
      <c r="E206" s="1197">
        <v>0.7672075214116649</v>
      </c>
      <c r="F206" s="1205">
        <v>0.05394362628434087</v>
      </c>
      <c r="G206" s="1206">
        <f t="shared" si="34"/>
        <v>5289.691215775514</v>
      </c>
      <c r="H206" s="1314">
        <f t="shared" si="35"/>
        <v>5.289691215775514</v>
      </c>
      <c r="I206" s="1201">
        <v>52.89691215775514</v>
      </c>
      <c r="K206" s="1224">
        <f t="shared" si="27"/>
        <v>0.3271703594853549</v>
      </c>
      <c r="L206" s="1182">
        <f t="shared" si="28"/>
        <v>8.310127087190503</v>
      </c>
      <c r="M206" s="1199">
        <f t="shared" si="29"/>
        <v>0.16069161535967322</v>
      </c>
      <c r="N206" s="1205">
        <f t="shared" si="30"/>
        <v>0.011298492525255195</v>
      </c>
      <c r="O206" s="1206">
        <f t="shared" si="31"/>
        <v>1107.9258251441813</v>
      </c>
      <c r="P206" s="1314">
        <f t="shared" si="32"/>
        <v>1.1079258251441815</v>
      </c>
      <c r="Q206" s="1201">
        <f t="shared" si="33"/>
        <v>11.079258251441814</v>
      </c>
    </row>
    <row r="207" spans="1:17" ht="15" customHeight="1">
      <c r="A207" s="1168">
        <v>66666.66666666667</v>
      </c>
      <c r="B207" s="1173">
        <v>20000</v>
      </c>
      <c r="C207" s="1225">
        <v>1.5372493746605358</v>
      </c>
      <c r="D207" s="427">
        <v>39.046133910871646</v>
      </c>
      <c r="E207" s="1198">
        <v>0.7550289262554863</v>
      </c>
      <c r="F207" s="1207">
        <v>0.053087329171189045</v>
      </c>
      <c r="G207" s="1208">
        <f t="shared" si="34"/>
        <v>5205.7230506829865</v>
      </c>
      <c r="H207" s="1315">
        <f t="shared" si="35"/>
        <v>5.205723050682987</v>
      </c>
      <c r="I207" s="1202">
        <v>52.05723050682986</v>
      </c>
      <c r="K207" s="1225">
        <f t="shared" si="27"/>
        <v>0.3219768815226492</v>
      </c>
      <c r="L207" s="1184">
        <f t="shared" si="28"/>
        <v>8.178212747632067</v>
      </c>
      <c r="M207" s="1198">
        <f t="shared" si="29"/>
        <v>0.15814080860421162</v>
      </c>
      <c r="N207" s="1207">
        <f t="shared" si="30"/>
        <v>0.011119141094905546</v>
      </c>
      <c r="O207" s="1208">
        <f t="shared" si="31"/>
        <v>1090.3386929655514</v>
      </c>
      <c r="P207" s="1315">
        <f t="shared" si="32"/>
        <v>1.0903386929655514</v>
      </c>
      <c r="Q207" s="1202">
        <f t="shared" si="33"/>
        <v>10.903386929655515</v>
      </c>
    </row>
    <row r="208" spans="1:17" ht="15" customHeight="1">
      <c r="A208" s="1165">
        <v>67000</v>
      </c>
      <c r="B208" s="1174">
        <v>20100</v>
      </c>
      <c r="C208" s="1223">
        <v>1.5128585253395208</v>
      </c>
      <c r="D208" s="421">
        <v>38.42660634137854</v>
      </c>
      <c r="E208" s="1197">
        <v>0.7430492194643407</v>
      </c>
      <c r="F208" s="1205">
        <v>0.05224501622703479</v>
      </c>
      <c r="G208" s="1206">
        <f t="shared" si="34"/>
        <v>5123.126167816026</v>
      </c>
      <c r="H208" s="1314">
        <f t="shared" si="35"/>
        <v>5.123126167816026</v>
      </c>
      <c r="I208" s="1200">
        <v>51.231261678160266</v>
      </c>
      <c r="K208" s="1226">
        <f t="shared" si="27"/>
        <v>0.31686821813236266</v>
      </c>
      <c r="L208" s="1182">
        <f t="shared" si="28"/>
        <v>8.048452698201734</v>
      </c>
      <c r="M208" s="1199">
        <f t="shared" si="29"/>
        <v>0.15563165901680615</v>
      </c>
      <c r="N208" s="1205">
        <f t="shared" si="30"/>
        <v>0.010942718648752438</v>
      </c>
      <c r="O208" s="1206">
        <f t="shared" si="31"/>
        <v>1073.0387758490667</v>
      </c>
      <c r="P208" s="1314">
        <f t="shared" si="32"/>
        <v>1.0730387758490667</v>
      </c>
      <c r="Q208" s="1201">
        <f t="shared" si="33"/>
        <v>10.730387758490668</v>
      </c>
    </row>
    <row r="209" spans="1:17" ht="15" customHeight="1">
      <c r="A209" s="1166">
        <v>67333.33333333334</v>
      </c>
      <c r="B209" s="1172">
        <v>20200</v>
      </c>
      <c r="C209" s="1224">
        <v>1.4888658175267488</v>
      </c>
      <c r="D209" s="421">
        <v>37.817191566141574</v>
      </c>
      <c r="E209" s="1197">
        <v>0.7312650621789691</v>
      </c>
      <c r="F209" s="1205">
        <v>0.05141645269117644</v>
      </c>
      <c r="G209" s="1206">
        <f t="shared" si="34"/>
        <v>5041.8775466306515</v>
      </c>
      <c r="H209" s="1314">
        <f t="shared" si="35"/>
        <v>5.041877546630651</v>
      </c>
      <c r="I209" s="1201">
        <v>50.41877546630651</v>
      </c>
      <c r="K209" s="1224">
        <f t="shared" si="27"/>
        <v>0.3118429454809775</v>
      </c>
      <c r="L209" s="1182">
        <f t="shared" si="28"/>
        <v>7.920810773528353</v>
      </c>
      <c r="M209" s="1199">
        <f t="shared" si="29"/>
        <v>0.1531634672733851</v>
      </c>
      <c r="N209" s="1205">
        <f t="shared" si="30"/>
        <v>0.010769176016166905</v>
      </c>
      <c r="O209" s="1206">
        <f t="shared" si="31"/>
        <v>1056.02125214179</v>
      </c>
      <c r="P209" s="1314">
        <f t="shared" si="32"/>
        <v>1.05602125214179</v>
      </c>
      <c r="Q209" s="1201">
        <f t="shared" si="33"/>
        <v>10.560212521417899</v>
      </c>
    </row>
    <row r="210" spans="1:17" ht="15" customHeight="1">
      <c r="A210" s="1166">
        <v>67666.66666666667</v>
      </c>
      <c r="B210" s="1172">
        <v>20300</v>
      </c>
      <c r="C210" s="1224">
        <v>1.4652645704812046</v>
      </c>
      <c r="D210" s="421">
        <v>37.217719894339865</v>
      </c>
      <c r="E210" s="1197">
        <v>0.7196731731147613</v>
      </c>
      <c r="F210" s="1205">
        <v>0.05060140785108077</v>
      </c>
      <c r="G210" s="1206">
        <f t="shared" si="34"/>
        <v>4961.954563544719</v>
      </c>
      <c r="H210" s="1314">
        <f t="shared" si="35"/>
        <v>4.96195456354472</v>
      </c>
      <c r="I210" s="1201">
        <v>49.619545635447196</v>
      </c>
      <c r="K210" s="1224">
        <f t="shared" si="27"/>
        <v>0.3068996642872883</v>
      </c>
      <c r="L210" s="1182">
        <f t="shared" si="28"/>
        <v>7.7952514318694845</v>
      </c>
      <c r="M210" s="1199">
        <f t="shared" si="29"/>
        <v>0.15073554610888676</v>
      </c>
      <c r="N210" s="1205">
        <f t="shared" si="30"/>
        <v>0.010598464874408867</v>
      </c>
      <c r="O210" s="1206">
        <f t="shared" si="31"/>
        <v>1039.2813833344414</v>
      </c>
      <c r="P210" s="1314">
        <f t="shared" si="32"/>
        <v>1.0392813833344416</v>
      </c>
      <c r="Q210" s="1201">
        <f t="shared" si="33"/>
        <v>10.392813833344414</v>
      </c>
    </row>
    <row r="211" spans="1:17" ht="15" customHeight="1">
      <c r="A211" s="1167">
        <v>68000</v>
      </c>
      <c r="B211" s="1172">
        <v>20400</v>
      </c>
      <c r="C211" s="1224">
        <v>1.4420482186098675</v>
      </c>
      <c r="D211" s="421">
        <v>36.62802455991156</v>
      </c>
      <c r="E211" s="1197">
        <v>0.7082703275427109</v>
      </c>
      <c r="F211" s="1205">
        <v>0.049799654970732396</v>
      </c>
      <c r="G211" s="1206">
        <f t="shared" si="34"/>
        <v>4883.334984911893</v>
      </c>
      <c r="H211" s="1314">
        <f t="shared" si="35"/>
        <v>4.883334984911893</v>
      </c>
      <c r="I211" s="1201">
        <v>48.83334984911893</v>
      </c>
      <c r="K211" s="1224">
        <f t="shared" si="27"/>
        <v>0.30203699938783674</v>
      </c>
      <c r="L211" s="1182">
        <f t="shared" si="28"/>
        <v>7.671739744073476</v>
      </c>
      <c r="M211" s="1199">
        <f t="shared" si="29"/>
        <v>0.1483472201038208</v>
      </c>
      <c r="N211" s="1205">
        <f t="shared" si="30"/>
        <v>0.0104305377336199</v>
      </c>
      <c r="O211" s="1206">
        <f t="shared" si="31"/>
        <v>1022.814512589796</v>
      </c>
      <c r="P211" s="1314">
        <f t="shared" si="32"/>
        <v>1.022814512589796</v>
      </c>
      <c r="Q211" s="1201">
        <f t="shared" si="33"/>
        <v>10.22814512589796</v>
      </c>
    </row>
    <row r="212" spans="1:17" ht="15" customHeight="1">
      <c r="A212" s="1168">
        <v>68333.33333333334</v>
      </c>
      <c r="B212" s="1173">
        <v>20500</v>
      </c>
      <c r="C212" s="1225">
        <v>1.4192103094305637</v>
      </c>
      <c r="D212" s="427">
        <v>36.047941669810314</v>
      </c>
      <c r="E212" s="1198">
        <v>0.6970533562888582</v>
      </c>
      <c r="F212" s="1207">
        <v>0.04901097122028289</v>
      </c>
      <c r="G212" s="1208">
        <f t="shared" si="34"/>
        <v>4805.996960123066</v>
      </c>
      <c r="H212" s="1315">
        <f t="shared" si="35"/>
        <v>4.805996960123066</v>
      </c>
      <c r="I212" s="1202">
        <v>48.059969601230655</v>
      </c>
      <c r="K212" s="1225">
        <f t="shared" si="27"/>
        <v>0.29725359931023154</v>
      </c>
      <c r="L212" s="1184">
        <f t="shared" si="28"/>
        <v>7.5502413827417705</v>
      </c>
      <c r="M212" s="1198">
        <f t="shared" si="29"/>
        <v>0.14599782547470136</v>
      </c>
      <c r="N212" s="1207">
        <f t="shared" si="30"/>
        <v>0.01026534792208825</v>
      </c>
      <c r="O212" s="1208">
        <f t="shared" si="31"/>
        <v>1006.6160632977761</v>
      </c>
      <c r="P212" s="1315">
        <f t="shared" si="32"/>
        <v>1.006616063297776</v>
      </c>
      <c r="Q212" s="1202">
        <f t="shared" si="33"/>
        <v>10.06616063297776</v>
      </c>
    </row>
    <row r="213" spans="1:17" ht="15" customHeight="1">
      <c r="A213" s="1165">
        <v>68666.66666666667</v>
      </c>
      <c r="B213" s="1174">
        <v>20600</v>
      </c>
      <c r="C213" s="1223">
        <v>1.396744501571812</v>
      </c>
      <c r="D213" s="421">
        <v>35.477310153201344</v>
      </c>
      <c r="E213" s="1197">
        <v>0.6860191447519038</v>
      </c>
      <c r="F213" s="1205">
        <v>0.04823513760697757</v>
      </c>
      <c r="G213" s="1206">
        <f t="shared" si="34"/>
        <v>4729.919014833061</v>
      </c>
      <c r="H213" s="1314">
        <f t="shared" si="35"/>
        <v>4.729919014833061</v>
      </c>
      <c r="I213" s="1200">
        <v>47.29919014833061</v>
      </c>
      <c r="K213" s="1226">
        <f t="shared" si="27"/>
        <v>0.292548135854216</v>
      </c>
      <c r="L213" s="1182">
        <f t="shared" si="28"/>
        <v>7.430722611588021</v>
      </c>
      <c r="M213" s="1199">
        <f t="shared" si="29"/>
        <v>0.14368670986828624</v>
      </c>
      <c r="N213" s="1205">
        <f t="shared" si="30"/>
        <v>0.010102849571781453</v>
      </c>
      <c r="O213" s="1206">
        <f t="shared" si="31"/>
        <v>990.6815376567846</v>
      </c>
      <c r="P213" s="1314">
        <f t="shared" si="32"/>
        <v>0.9906815376567846</v>
      </c>
      <c r="Q213" s="1201">
        <f t="shared" si="33"/>
        <v>9.906815376567845</v>
      </c>
    </row>
    <row r="214" spans="1:17" ht="15" customHeight="1">
      <c r="A214" s="1166">
        <v>69000</v>
      </c>
      <c r="B214" s="1172">
        <v>20700</v>
      </c>
      <c r="C214" s="1224">
        <v>1.374644562808974</v>
      </c>
      <c r="D214" s="421">
        <v>34.91597171157967</v>
      </c>
      <c r="E214" s="1197">
        <v>0.6751646319386511</v>
      </c>
      <c r="F214" s="1205">
        <v>0.04747193890733589</v>
      </c>
      <c r="G214" s="1206">
        <f t="shared" si="34"/>
        <v>4655.080044310276</v>
      </c>
      <c r="H214" s="1314">
        <f t="shared" si="35"/>
        <v>4.655080044310276</v>
      </c>
      <c r="I214" s="1201">
        <v>46.550800443102766</v>
      </c>
      <c r="K214" s="1224">
        <f t="shared" si="27"/>
        <v>0.28791930368033963</v>
      </c>
      <c r="L214" s="1182">
        <f t="shared" si="28"/>
        <v>7.313150274990362</v>
      </c>
      <c r="M214" s="1199">
        <f t="shared" si="29"/>
        <v>0.14141323215955046</v>
      </c>
      <c r="N214" s="1205">
        <f t="shared" si="30"/>
        <v>0.009942997604141503</v>
      </c>
      <c r="O214" s="1206">
        <f t="shared" si="31"/>
        <v>975.0065152807873</v>
      </c>
      <c r="P214" s="1314">
        <f t="shared" si="32"/>
        <v>0.9750065152807873</v>
      </c>
      <c r="Q214" s="1201">
        <f t="shared" si="33"/>
        <v>9.750065152807874</v>
      </c>
    </row>
    <row r="215" spans="1:17" ht="15" customHeight="1">
      <c r="A215" s="1166">
        <v>69333.33333333334</v>
      </c>
      <c r="B215" s="1172">
        <v>20800</v>
      </c>
      <c r="C215" s="1224">
        <v>1.3529043681359207</v>
      </c>
      <c r="D215" s="421">
        <v>34.363770769790435</v>
      </c>
      <c r="E215" s="1197">
        <v>0.6644868095168951</v>
      </c>
      <c r="F215" s="1205">
        <v>0.0467211636005585</v>
      </c>
      <c r="G215" s="1206">
        <f t="shared" si="34"/>
        <v>4581.4593069065995</v>
      </c>
      <c r="H215" s="1314">
        <f t="shared" si="35"/>
        <v>4.581459306906599</v>
      </c>
      <c r="I215" s="1201">
        <v>45.814593069066</v>
      </c>
      <c r="K215" s="1224">
        <f t="shared" si="27"/>
        <v>0.2833658199060686</v>
      </c>
      <c r="L215" s="1182">
        <f t="shared" si="28"/>
        <v>7.197491787732607</v>
      </c>
      <c r="M215" s="1199">
        <f t="shared" si="29"/>
        <v>0.13917676225331369</v>
      </c>
      <c r="N215" s="1205">
        <f t="shared" si="30"/>
        <v>0.009785747716136979</v>
      </c>
      <c r="O215" s="1206">
        <f t="shared" si="31"/>
        <v>959.5866518315872</v>
      </c>
      <c r="P215" s="1314">
        <f t="shared" si="32"/>
        <v>0.9595866518315872</v>
      </c>
      <c r="Q215" s="1201">
        <f t="shared" si="33"/>
        <v>9.595866518315873</v>
      </c>
    </row>
    <row r="216" spans="1:17" ht="15" customHeight="1">
      <c r="A216" s="1167">
        <v>69666.66666666667</v>
      </c>
      <c r="B216" s="1172">
        <v>20900</v>
      </c>
      <c r="C216" s="1224">
        <v>1.331517897871738</v>
      </c>
      <c r="D216" s="421">
        <v>33.82055442793923</v>
      </c>
      <c r="E216" s="1197">
        <v>0.6539827208855196</v>
      </c>
      <c r="F216" s="1205">
        <v>0.04598260380314422</v>
      </c>
      <c r="G216" s="1206">
        <f t="shared" si="34"/>
        <v>4509.036417645976</v>
      </c>
      <c r="H216" s="1314">
        <f t="shared" si="35"/>
        <v>4.5090364176459765</v>
      </c>
      <c r="I216" s="1201">
        <v>45.090364176459765</v>
      </c>
      <c r="K216" s="1224">
        <f t="shared" si="27"/>
        <v>0.2788864237092355</v>
      </c>
      <c r="L216" s="1182">
        <f t="shared" si="28"/>
        <v>7.083715124931872</v>
      </c>
      <c r="M216" s="1199">
        <f t="shared" si="29"/>
        <v>0.13697668088947207</v>
      </c>
      <c r="N216" s="1205">
        <f t="shared" si="30"/>
        <v>0.009631056366568557</v>
      </c>
      <c r="O216" s="1206">
        <f t="shared" si="31"/>
        <v>944.4176776759497</v>
      </c>
      <c r="P216" s="1314">
        <f t="shared" si="32"/>
        <v>0.9444176776759498</v>
      </c>
      <c r="Q216" s="1201">
        <f t="shared" si="33"/>
        <v>9.444176776759498</v>
      </c>
    </row>
    <row r="217" spans="1:17" ht="15" customHeight="1">
      <c r="A217" s="1168">
        <v>70000</v>
      </c>
      <c r="B217" s="1173">
        <v>21000</v>
      </c>
      <c r="C217" s="1225">
        <v>1.3104792358016983</v>
      </c>
      <c r="D217" s="427">
        <v>33.28617241417276</v>
      </c>
      <c r="E217" s="1198">
        <v>0.6436494602614248</v>
      </c>
      <c r="F217" s="1207">
        <v>0.045256055204690414</v>
      </c>
      <c r="G217" s="1208">
        <f t="shared" si="34"/>
        <v>4437.79134192902</v>
      </c>
      <c r="H217" s="1315">
        <f t="shared" si="35"/>
        <v>4.43779134192902</v>
      </c>
      <c r="I217" s="1202">
        <v>44.377913419290195</v>
      </c>
      <c r="K217" s="1225">
        <f t="shared" si="27"/>
        <v>0.27447987593866574</v>
      </c>
      <c r="L217" s="1184">
        <f t="shared" si="28"/>
        <v>6.971788812148485</v>
      </c>
      <c r="M217" s="1198">
        <f t="shared" si="29"/>
        <v>0.13481237945175542</v>
      </c>
      <c r="N217" s="1207">
        <f t="shared" si="30"/>
        <v>0.009478880762622406</v>
      </c>
      <c r="O217" s="1208">
        <f t="shared" si="31"/>
        <v>929.4953965670331</v>
      </c>
      <c r="P217" s="1315">
        <f t="shared" si="32"/>
        <v>0.9294953965670333</v>
      </c>
      <c r="Q217" s="1202">
        <f t="shared" si="33"/>
        <v>9.29495396567033</v>
      </c>
    </row>
    <row r="218" spans="1:17" ht="15" customHeight="1">
      <c r="A218" s="1165">
        <v>70333.33333333334</v>
      </c>
      <c r="B218" s="1174">
        <v>21100</v>
      </c>
      <c r="C218" s="1223">
        <v>1.2897825673518353</v>
      </c>
      <c r="D218" s="421">
        <v>32.760477038313056</v>
      </c>
      <c r="E218" s="1197">
        <v>0.6334841717829587</v>
      </c>
      <c r="F218" s="1205">
        <v>0.044541317004853795</v>
      </c>
      <c r="G218" s="1206">
        <f t="shared" si="34"/>
        <v>4367.704389351408</v>
      </c>
      <c r="H218" s="1314">
        <f t="shared" si="35"/>
        <v>4.367704389351409</v>
      </c>
      <c r="I218" s="1200">
        <v>43.67704389351408</v>
      </c>
      <c r="K218" s="1226">
        <f t="shared" si="27"/>
        <v>0.2701449587318419</v>
      </c>
      <c r="L218" s="1182">
        <f t="shared" si="28"/>
        <v>6.861681915674669</v>
      </c>
      <c r="M218" s="1199">
        <f t="shared" si="29"/>
        <v>0.1326832597799407</v>
      </c>
      <c r="N218" s="1205">
        <f t="shared" si="30"/>
        <v>0.009329178846666628</v>
      </c>
      <c r="O218" s="1206">
        <f t="shared" si="31"/>
        <v>914.8156843496524</v>
      </c>
      <c r="P218" s="1314">
        <f t="shared" si="32"/>
        <v>0.9148156843496525</v>
      </c>
      <c r="Q218" s="1201">
        <f t="shared" si="33"/>
        <v>9.148156843496524</v>
      </c>
    </row>
    <row r="219" spans="1:17" ht="15" customHeight="1">
      <c r="A219" s="1166">
        <v>70666.66666666667</v>
      </c>
      <c r="B219" s="1172">
        <v>21200</v>
      </c>
      <c r="C219" s="1224">
        <v>1.2694221777966124</v>
      </c>
      <c r="D219" s="421">
        <v>32.24332314633226</v>
      </c>
      <c r="E219" s="1197">
        <v>0.6234840486296037</v>
      </c>
      <c r="F219" s="1205">
        <v>0.04383819185145411</v>
      </c>
      <c r="G219" s="1206">
        <f t="shared" si="34"/>
        <v>4298.756207634363</v>
      </c>
      <c r="H219" s="1314">
        <f t="shared" si="35"/>
        <v>4.298756207634363</v>
      </c>
      <c r="I219" s="1201">
        <v>42.98756207634363</v>
      </c>
      <c r="K219" s="1224">
        <f t="shared" si="27"/>
        <v>0.26588047513950047</v>
      </c>
      <c r="L219" s="1182">
        <f t="shared" si="28"/>
        <v>6.753364032999292</v>
      </c>
      <c r="M219" s="1199">
        <f t="shared" si="29"/>
        <v>0.1305887339854705</v>
      </c>
      <c r="N219" s="1205">
        <f t="shared" si="30"/>
        <v>0.009181909283287062</v>
      </c>
      <c r="O219" s="1206">
        <f t="shared" si="31"/>
        <v>900.3744876890173</v>
      </c>
      <c r="P219" s="1314">
        <f t="shared" si="32"/>
        <v>0.9003744876890173</v>
      </c>
      <c r="Q219" s="1201">
        <f t="shared" si="33"/>
        <v>9.003744876890172</v>
      </c>
    </row>
    <row r="220" spans="1:17" ht="15" customHeight="1">
      <c r="A220" s="1166">
        <v>71000</v>
      </c>
      <c r="B220" s="1172">
        <v>21300</v>
      </c>
      <c r="C220" s="1224">
        <v>1.2493924504990301</v>
      </c>
      <c r="D220" s="421">
        <v>31.734568075651325</v>
      </c>
      <c r="E220" s="1197">
        <v>0.6136463321575946</v>
      </c>
      <c r="F220" s="1205">
        <v>0.04314648577969805</v>
      </c>
      <c r="G220" s="1206">
        <f t="shared" si="34"/>
        <v>4230.927776664961</v>
      </c>
      <c r="H220" s="1314">
        <f t="shared" si="35"/>
        <v>4.230927776664961</v>
      </c>
      <c r="I220" s="1201">
        <v>42.309277766649615</v>
      </c>
      <c r="K220" s="1224">
        <f t="shared" si="27"/>
        <v>0.26168524875702187</v>
      </c>
      <c r="L220" s="1182">
        <f t="shared" si="28"/>
        <v>6.64680528344517</v>
      </c>
      <c r="M220" s="1199">
        <f t="shared" si="29"/>
        <v>0.1285282242704082</v>
      </c>
      <c r="N220" s="1205">
        <f t="shared" si="30"/>
        <v>0.009037031446557755</v>
      </c>
      <c r="O220" s="1206">
        <f t="shared" si="31"/>
        <v>886.1678228224761</v>
      </c>
      <c r="P220" s="1314">
        <f t="shared" si="32"/>
        <v>0.8861678228224761</v>
      </c>
      <c r="Q220" s="1201">
        <f t="shared" si="33"/>
        <v>8.861678228224761</v>
      </c>
    </row>
    <row r="221" spans="1:17" ht="15" customHeight="1">
      <c r="A221" s="1167">
        <v>71333.33333333334</v>
      </c>
      <c r="B221" s="1172">
        <v>21400</v>
      </c>
      <c r="C221" s="1224">
        <v>1.2296878651824537</v>
      </c>
      <c r="D221" s="421">
        <v>31.234071611244474</v>
      </c>
      <c r="E221" s="1197">
        <v>0.6039683110511168</v>
      </c>
      <c r="F221" s="1205">
        <v>0.042466008152498576</v>
      </c>
      <c r="G221" s="1206">
        <f t="shared" si="34"/>
        <v>4164.200402643877</v>
      </c>
      <c r="H221" s="1314">
        <f t="shared" si="35"/>
        <v>4.1642004026438775</v>
      </c>
      <c r="I221" s="1201">
        <v>41.64200402643877</v>
      </c>
      <c r="K221" s="1224">
        <f t="shared" si="27"/>
        <v>0.2575581233624649</v>
      </c>
      <c r="L221" s="1182">
        <f t="shared" si="28"/>
        <v>6.541976298975155</v>
      </c>
      <c r="M221" s="1199">
        <f t="shared" si="29"/>
        <v>0.12650116274965642</v>
      </c>
      <c r="N221" s="1205">
        <f t="shared" si="30"/>
        <v>0.008894505407540826</v>
      </c>
      <c r="O221" s="1206">
        <f t="shared" si="31"/>
        <v>872.19177433376</v>
      </c>
      <c r="P221" s="1314">
        <f t="shared" si="32"/>
        <v>0.8721917743337602</v>
      </c>
      <c r="Q221" s="1201">
        <f t="shared" si="33"/>
        <v>8.7219177433376</v>
      </c>
    </row>
    <row r="222" spans="1:17" ht="15" customHeight="1">
      <c r="A222" s="1168">
        <v>71666.66666666667</v>
      </c>
      <c r="B222" s="1173">
        <v>21500</v>
      </c>
      <c r="C222" s="1225">
        <v>1.210302996233763</v>
      </c>
      <c r="D222" s="427">
        <v>30.741695942539184</v>
      </c>
      <c r="E222" s="1198">
        <v>0.5944473204888893</v>
      </c>
      <c r="F222" s="1207">
        <v>0.04179657160187598</v>
      </c>
      <c r="G222" s="1208">
        <f t="shared" si="34"/>
        <v>4098.555712339188</v>
      </c>
      <c r="H222" s="1315">
        <f t="shared" si="35"/>
        <v>4.098555712339188</v>
      </c>
      <c r="I222" s="1202">
        <v>40.98555712339188</v>
      </c>
      <c r="K222" s="1225">
        <f t="shared" si="27"/>
        <v>0.25349796256116164</v>
      </c>
      <c r="L222" s="1184">
        <f t="shared" si="28"/>
        <v>6.438848215164832</v>
      </c>
      <c r="M222" s="1198">
        <f t="shared" si="29"/>
        <v>0.12450699127639786</v>
      </c>
      <c r="N222" s="1207">
        <f t="shared" si="30"/>
        <v>0.008754291922012923</v>
      </c>
      <c r="O222" s="1208">
        <f t="shared" si="31"/>
        <v>858.4424939494429</v>
      </c>
      <c r="P222" s="1315">
        <f t="shared" si="32"/>
        <v>0.8584424939494428</v>
      </c>
      <c r="Q222" s="1202">
        <f t="shared" si="33"/>
        <v>8.58442493949443</v>
      </c>
    </row>
    <row r="223" spans="1:17" ht="15" customHeight="1">
      <c r="A223" s="1165">
        <v>72000</v>
      </c>
      <c r="B223" s="1174">
        <v>21600</v>
      </c>
      <c r="C223" s="1223">
        <v>1.1912325110371256</v>
      </c>
      <c r="D223" s="421">
        <v>30.257305621094016</v>
      </c>
      <c r="E223" s="1197">
        <v>0.5850807413257864</v>
      </c>
      <c r="F223" s="1205">
        <v>0.04113799197141638</v>
      </c>
      <c r="G223" s="1206">
        <f t="shared" si="34"/>
        <v>4033.9756474438827</v>
      </c>
      <c r="H223" s="1314">
        <f t="shared" si="35"/>
        <v>4.033975647443882</v>
      </c>
      <c r="I223" s="1200">
        <v>40.33975647443883</v>
      </c>
      <c r="K223" s="1226">
        <f t="shared" si="27"/>
        <v>0.24950364943672595</v>
      </c>
      <c r="L223" s="1182">
        <f t="shared" si="28"/>
        <v>6.337392662338141</v>
      </c>
      <c r="M223" s="1199">
        <f t="shared" si="29"/>
        <v>0.12254516127068595</v>
      </c>
      <c r="N223" s="1205">
        <f t="shared" si="30"/>
        <v>0.00861635241841316</v>
      </c>
      <c r="O223" s="1206">
        <f t="shared" si="31"/>
        <v>844.9161993571212</v>
      </c>
      <c r="P223" s="1314">
        <f t="shared" si="32"/>
        <v>0.8449161993571211</v>
      </c>
      <c r="Q223" s="1201">
        <f t="shared" si="33"/>
        <v>8.449161993571213</v>
      </c>
    </row>
    <row r="224" spans="1:17" ht="15" customHeight="1">
      <c r="A224" s="1166">
        <v>72333.33333333334</v>
      </c>
      <c r="B224" s="1172">
        <v>21700</v>
      </c>
      <c r="C224" s="1224">
        <v>1.1724711683378357</v>
      </c>
      <c r="D224" s="421">
        <v>29.780767519040147</v>
      </c>
      <c r="E224" s="1197">
        <v>0.5758659992892289</v>
      </c>
      <c r="F224" s="1205">
        <v>0.040490088259768665</v>
      </c>
      <c r="G224" s="1206">
        <f t="shared" si="34"/>
        <v>3970.4424590351878</v>
      </c>
      <c r="H224" s="1314">
        <f t="shared" si="35"/>
        <v>3.970442459035188</v>
      </c>
      <c r="I224" s="1201">
        <v>39.70442459035188</v>
      </c>
      <c r="K224" s="1224">
        <f t="shared" si="27"/>
        <v>0.2455740862083597</v>
      </c>
      <c r="L224" s="1182">
        <f t="shared" si="28"/>
        <v>6.237581756862959</v>
      </c>
      <c r="M224" s="1199">
        <f t="shared" si="29"/>
        <v>0.12061513355112899</v>
      </c>
      <c r="N224" s="1205">
        <f t="shared" si="30"/>
        <v>0.008480648986008546</v>
      </c>
      <c r="O224" s="1206">
        <f t="shared" si="31"/>
        <v>831.6091730449201</v>
      </c>
      <c r="P224" s="1314">
        <f t="shared" si="32"/>
        <v>0.8316091730449201</v>
      </c>
      <c r="Q224" s="1201">
        <f t="shared" si="33"/>
        <v>8.3160917304492</v>
      </c>
    </row>
    <row r="225" spans="1:17" ht="15" customHeight="1">
      <c r="A225" s="1166">
        <v>72666.66666666667</v>
      </c>
      <c r="B225" s="1172">
        <v>21800</v>
      </c>
      <c r="C225" s="1224">
        <v>1.1540138166356855</v>
      </c>
      <c r="D225" s="421">
        <v>29.311950788272988</v>
      </c>
      <c r="E225" s="1197">
        <v>0.5668005641900786</v>
      </c>
      <c r="F225" s="1205">
        <v>0.03985268256516116</v>
      </c>
      <c r="G225" s="1206">
        <f t="shared" si="34"/>
        <v>3907.9387021338953</v>
      </c>
      <c r="H225" s="1314">
        <f t="shared" si="35"/>
        <v>3.907938702133895</v>
      </c>
      <c r="I225" s="1201">
        <v>39.07938702133895</v>
      </c>
      <c r="K225" s="1224">
        <f t="shared" si="27"/>
        <v>0.2417081938943443</v>
      </c>
      <c r="L225" s="1182">
        <f t="shared" si="28"/>
        <v>6.139388092603777</v>
      </c>
      <c r="M225" s="1199">
        <f t="shared" si="29"/>
        <v>0.11871637816961196</v>
      </c>
      <c r="N225" s="1205">
        <f t="shared" si="30"/>
        <v>0.008347144363273004</v>
      </c>
      <c r="O225" s="1206">
        <f t="shared" si="31"/>
        <v>818.5177611619443</v>
      </c>
      <c r="P225" s="1314">
        <f t="shared" si="32"/>
        <v>0.8185177611619443</v>
      </c>
      <c r="Q225" s="1201">
        <f t="shared" si="33"/>
        <v>8.185177611619444</v>
      </c>
    </row>
    <row r="226" spans="1:17" ht="15" customHeight="1">
      <c r="A226" s="1167">
        <v>73000</v>
      </c>
      <c r="B226" s="1172">
        <v>21900</v>
      </c>
      <c r="C226" s="1224">
        <v>1.1358553926073516</v>
      </c>
      <c r="D226" s="421">
        <v>28.8507268203808</v>
      </c>
      <c r="E226" s="1197">
        <v>0.5578819491477846</v>
      </c>
      <c r="F226" s="1205">
        <v>0.03922560003092038</v>
      </c>
      <c r="G226" s="1206">
        <f t="shared" si="34"/>
        <v>3846.4472303619536</v>
      </c>
      <c r="H226" s="1314">
        <f t="shared" si="35"/>
        <v>3.8464472303619535</v>
      </c>
      <c r="I226" s="1201">
        <v>38.46447230361954</v>
      </c>
      <c r="K226" s="1224">
        <f t="shared" si="27"/>
        <v>0.2379049119816098</v>
      </c>
      <c r="L226" s="1182">
        <f t="shared" si="28"/>
        <v>6.042784732528759</v>
      </c>
      <c r="M226" s="1199">
        <f t="shared" si="29"/>
        <v>0.11684837424900348</v>
      </c>
      <c r="N226" s="1205">
        <f t="shared" si="30"/>
        <v>0.008215801926476272</v>
      </c>
      <c r="O226" s="1206">
        <f t="shared" si="31"/>
        <v>805.6383723993112</v>
      </c>
      <c r="P226" s="1314">
        <f t="shared" si="32"/>
        <v>0.8056383723993111</v>
      </c>
      <c r="Q226" s="1201">
        <f t="shared" si="33"/>
        <v>8.056383723993113</v>
      </c>
    </row>
    <row r="227" spans="1:17" ht="15" customHeight="1">
      <c r="A227" s="1168">
        <v>73333.33333333334</v>
      </c>
      <c r="B227" s="1173">
        <v>22000</v>
      </c>
      <c r="C227" s="1225">
        <v>1.117990919557156</v>
      </c>
      <c r="D227" s="427">
        <v>28.39696920729403</v>
      </c>
      <c r="E227" s="1198">
        <v>0.5491077098294646</v>
      </c>
      <c r="F227" s="1207">
        <v>0.03860866879196964</v>
      </c>
      <c r="G227" s="1208">
        <f t="shared" si="34"/>
        <v>3785.9511906961416</v>
      </c>
      <c r="H227" s="1315">
        <f t="shared" si="35"/>
        <v>3.7859511906961414</v>
      </c>
      <c r="I227" s="1202">
        <v>37.859511906961416</v>
      </c>
      <c r="K227" s="1225">
        <f t="shared" si="27"/>
        <v>0.23416319810124633</v>
      </c>
      <c r="L227" s="1184">
        <f t="shared" si="28"/>
        <v>5.947745200467735</v>
      </c>
      <c r="M227" s="1198">
        <f t="shared" si="29"/>
        <v>0.11501060982378135</v>
      </c>
      <c r="N227" s="1207">
        <f t="shared" si="30"/>
        <v>0.008086585678478041</v>
      </c>
      <c r="O227" s="1208">
        <f t="shared" si="31"/>
        <v>792.9674768913069</v>
      </c>
      <c r="P227" s="1315">
        <f t="shared" si="32"/>
        <v>0.7929674768913068</v>
      </c>
      <c r="Q227" s="1202">
        <f t="shared" si="33"/>
        <v>7.929674768913069</v>
      </c>
    </row>
    <row r="228" spans="1:17" ht="15" customHeight="1">
      <c r="A228" s="1165">
        <v>73666.66666666667</v>
      </c>
      <c r="B228" s="1174">
        <v>22100</v>
      </c>
      <c r="C228" s="1223">
        <v>1.1004155058958158</v>
      </c>
      <c r="D228" s="421">
        <v>27.950553702645546</v>
      </c>
      <c r="E228" s="1197">
        <v>0.5404754437027354</v>
      </c>
      <c r="F228" s="1205">
        <v>0.03800171992229427</v>
      </c>
      <c r="G228" s="1206">
        <f t="shared" si="34"/>
        <v>3726.434018316526</v>
      </c>
      <c r="H228" s="1314">
        <f t="shared" si="35"/>
        <v>3.726434018316526</v>
      </c>
      <c r="I228" s="1200">
        <v>37.26434018316526</v>
      </c>
      <c r="K228" s="1226">
        <f t="shared" si="27"/>
        <v>0.23048202770987863</v>
      </c>
      <c r="L228" s="1182">
        <f t="shared" si="28"/>
        <v>5.8542434730191095</v>
      </c>
      <c r="M228" s="1199">
        <f t="shared" si="29"/>
        <v>0.11320258168353792</v>
      </c>
      <c r="N228" s="1205">
        <f t="shared" si="30"/>
        <v>0.007959460237724534</v>
      </c>
      <c r="O228" s="1206">
        <f t="shared" si="31"/>
        <v>780.5016051363964</v>
      </c>
      <c r="P228" s="1314">
        <f t="shared" si="32"/>
        <v>0.7805016051363963</v>
      </c>
      <c r="Q228" s="1201">
        <f t="shared" si="33"/>
        <v>7.805016051363964</v>
      </c>
    </row>
    <row r="229" spans="1:17" ht="15" customHeight="1">
      <c r="A229" s="1166">
        <v>74000</v>
      </c>
      <c r="B229" s="1172">
        <v>22200</v>
      </c>
      <c r="C229" s="1224">
        <v>1.0831243436465623</v>
      </c>
      <c r="D229" s="421">
        <v>27.51135818382606</v>
      </c>
      <c r="E229" s="1197">
        <v>0.531982789301984</v>
      </c>
      <c r="F229" s="1205">
        <v>0.03740458738335194</v>
      </c>
      <c r="G229" s="1206">
        <f t="shared" si="34"/>
        <v>3667.8794315476</v>
      </c>
      <c r="H229" s="1314">
        <f t="shared" si="35"/>
        <v>3.6678794315476</v>
      </c>
      <c r="I229" s="1201">
        <v>36.678794315476</v>
      </c>
      <c r="K229" s="1224">
        <f t="shared" si="27"/>
        <v>0.22686039377677247</v>
      </c>
      <c r="L229" s="1182">
        <f t="shared" si="28"/>
        <v>5.762253971602369</v>
      </c>
      <c r="M229" s="1199">
        <f t="shared" si="29"/>
        <v>0.11142379521930054</v>
      </c>
      <c r="N229" s="1205">
        <f t="shared" si="30"/>
        <v>0.007834390827443064</v>
      </c>
      <c r="O229" s="1206">
        <f t="shared" si="31"/>
        <v>768.2373469376448</v>
      </c>
      <c r="P229" s="1314">
        <f t="shared" si="32"/>
        <v>0.7682373469376448</v>
      </c>
      <c r="Q229" s="1201">
        <f t="shared" si="33"/>
        <v>7.682373469376447</v>
      </c>
    </row>
    <row r="230" spans="1:17" ht="15" customHeight="1">
      <c r="A230" s="1166">
        <v>74333.33333333334</v>
      </c>
      <c r="B230" s="1172">
        <v>22300</v>
      </c>
      <c r="C230" s="1224">
        <v>1.0661127069781517</v>
      </c>
      <c r="D230" s="421">
        <v>27.079262614722623</v>
      </c>
      <c r="E230" s="1197">
        <v>0.5236274255078469</v>
      </c>
      <c r="F230" s="1205">
        <v>0.03681710797341169</v>
      </c>
      <c r="G230" s="1206">
        <f t="shared" si="34"/>
        <v>3610.271426890486</v>
      </c>
      <c r="H230" s="1314">
        <f t="shared" si="35"/>
        <v>3.610271426890486</v>
      </c>
      <c r="I230" s="1201">
        <v>36.10271426890486</v>
      </c>
      <c r="K230" s="1224">
        <f t="shared" si="27"/>
        <v>0.2232973064765739</v>
      </c>
      <c r="L230" s="1182">
        <f t="shared" si="28"/>
        <v>5.671751554653653</v>
      </c>
      <c r="M230" s="1199">
        <f t="shared" si="29"/>
        <v>0.10967376427261853</v>
      </c>
      <c r="N230" s="1205">
        <f t="shared" si="30"/>
        <v>0.007711343265031079</v>
      </c>
      <c r="O230" s="1206">
        <f t="shared" si="31"/>
        <v>756.1713503622123</v>
      </c>
      <c r="P230" s="1314">
        <f t="shared" si="32"/>
        <v>0.7561713503622123</v>
      </c>
      <c r="Q230" s="1201">
        <f t="shared" si="33"/>
        <v>7.561713503622123</v>
      </c>
    </row>
    <row r="231" spans="1:17" ht="15" customHeight="1">
      <c r="A231" s="1167">
        <v>74666.66666666667</v>
      </c>
      <c r="B231" s="1172">
        <v>22400</v>
      </c>
      <c r="C231" s="1224">
        <v>1.049375950764285</v>
      </c>
      <c r="D231" s="421">
        <v>26.654149009127845</v>
      </c>
      <c r="E231" s="1197">
        <v>0.5154070708396615</v>
      </c>
      <c r="F231" s="1205">
        <v>0.03623912127780501</v>
      </c>
      <c r="G231" s="1206">
        <f t="shared" si="34"/>
        <v>3553.594274144578</v>
      </c>
      <c r="H231" s="1314">
        <f t="shared" si="35"/>
        <v>3.553594274144578</v>
      </c>
      <c r="I231" s="1201">
        <v>35.53594274144578</v>
      </c>
      <c r="K231" s="1224">
        <f t="shared" si="27"/>
        <v>0.2197917928875795</v>
      </c>
      <c r="L231" s="1182">
        <f t="shared" si="28"/>
        <v>5.582711509961827</v>
      </c>
      <c r="M231" s="1199">
        <f t="shared" si="29"/>
        <v>0.1079520109873671</v>
      </c>
      <c r="N231" s="1205">
        <f t="shared" si="30"/>
        <v>0.007590283951636258</v>
      </c>
      <c r="O231" s="1206">
        <f t="shared" si="31"/>
        <v>744.3003207195818</v>
      </c>
      <c r="P231" s="1314">
        <f t="shared" si="32"/>
        <v>0.7443003207195819</v>
      </c>
      <c r="Q231" s="1201">
        <f t="shared" si="33"/>
        <v>7.443003207195819</v>
      </c>
    </row>
    <row r="232" spans="1:17" ht="15" customHeight="1">
      <c r="A232" s="1168">
        <v>75000</v>
      </c>
      <c r="B232" s="1173">
        <v>22500</v>
      </c>
      <c r="C232" s="1225">
        <v>1.032909509168953</v>
      </c>
      <c r="D232" s="427">
        <v>26.23590139480772</v>
      </c>
      <c r="E232" s="1198">
        <v>0.5073194827606503</v>
      </c>
      <c r="F232" s="1207">
        <v>0.03567046962007213</v>
      </c>
      <c r="G232" s="1208">
        <f t="shared" si="34"/>
        <v>3497.8325116169635</v>
      </c>
      <c r="H232" s="1315">
        <f t="shared" si="35"/>
        <v>3.4978325116169637</v>
      </c>
      <c r="I232" s="1202">
        <v>34.978325116169636</v>
      </c>
      <c r="K232" s="1225">
        <f t="shared" si="27"/>
        <v>0.21634289669543721</v>
      </c>
      <c r="L232" s="1184">
        <f t="shared" si="28"/>
        <v>5.4951095471424765</v>
      </c>
      <c r="M232" s="1198">
        <f t="shared" si="29"/>
        <v>0.10625806566421821</v>
      </c>
      <c r="N232" s="1207">
        <f t="shared" si="30"/>
        <v>0.007471179861924107</v>
      </c>
      <c r="O232" s="1208">
        <f t="shared" si="31"/>
        <v>732.621019558173</v>
      </c>
      <c r="P232" s="1315">
        <f t="shared" si="32"/>
        <v>0.732621019558173</v>
      </c>
      <c r="Q232" s="1202">
        <f t="shared" si="33"/>
        <v>7.32621019558173</v>
      </c>
    </row>
    <row r="233" spans="1:17" ht="15" customHeight="1">
      <c r="A233" s="1165">
        <v>75333.33333333334</v>
      </c>
      <c r="B233" s="1174">
        <v>22600</v>
      </c>
      <c r="C233" s="1223">
        <v>1.0167088942572013</v>
      </c>
      <c r="D233" s="421">
        <v>25.82440577821499</v>
      </c>
      <c r="E233" s="1197">
        <v>0.4993624569955888</v>
      </c>
      <c r="F233" s="1205">
        <v>0.035110998013986254</v>
      </c>
      <c r="G233" s="1206">
        <f t="shared" si="34"/>
        <v>3442.9709414179392</v>
      </c>
      <c r="H233" s="1314">
        <f t="shared" si="35"/>
        <v>3.442970941417939</v>
      </c>
      <c r="I233" s="1200">
        <v>34.42970941417939</v>
      </c>
      <c r="K233" s="1226">
        <f t="shared" si="27"/>
        <v>0.21294967790217081</v>
      </c>
      <c r="L233" s="1182">
        <f t="shared" si="28"/>
        <v>5.40892179024713</v>
      </c>
      <c r="M233" s="1199">
        <f t="shared" si="29"/>
        <v>0.10459146661772607</v>
      </c>
      <c r="N233" s="1205">
        <f t="shared" si="30"/>
        <v>0.007353998534029421</v>
      </c>
      <c r="O233" s="1206">
        <f t="shared" si="31"/>
        <v>721.1302636799874</v>
      </c>
      <c r="P233" s="1314">
        <f t="shared" si="32"/>
        <v>0.7211302636799873</v>
      </c>
      <c r="Q233" s="1201">
        <f t="shared" si="33"/>
        <v>7.211302636799873</v>
      </c>
    </row>
    <row r="234" spans="1:17" ht="15" customHeight="1">
      <c r="A234" s="1166">
        <v>75666.66666666667</v>
      </c>
      <c r="B234" s="1172">
        <v>22700</v>
      </c>
      <c r="C234" s="1224">
        <v>1.0007696946308482</v>
      </c>
      <c r="D234" s="421">
        <v>25.41955010983644</v>
      </c>
      <c r="E234" s="1197">
        <v>0.49153382686073194</v>
      </c>
      <c r="F234" s="1205">
        <v>0.03456055411643947</v>
      </c>
      <c r="G234" s="1206">
        <f t="shared" si="34"/>
        <v>3388.9946248410224</v>
      </c>
      <c r="H234" s="1314">
        <f t="shared" si="35"/>
        <v>3.3889946248410223</v>
      </c>
      <c r="I234" s="1201">
        <v>33.889946248410226</v>
      </c>
      <c r="K234" s="1224">
        <f t="shared" si="27"/>
        <v>0.20961121254043116</v>
      </c>
      <c r="L234" s="1182">
        <f t="shared" si="28"/>
        <v>5.324124770505242</v>
      </c>
      <c r="M234" s="1199">
        <f t="shared" si="29"/>
        <v>0.1029517600359803</v>
      </c>
      <c r="N234" s="1205">
        <f t="shared" si="30"/>
        <v>0.0072387080596882465</v>
      </c>
      <c r="O234" s="1206">
        <f t="shared" si="31"/>
        <v>709.8249241729521</v>
      </c>
      <c r="P234" s="1314">
        <f t="shared" si="32"/>
        <v>0.7098249241729521</v>
      </c>
      <c r="Q234" s="1201">
        <f t="shared" si="33"/>
        <v>7.098249241729522</v>
      </c>
    </row>
    <row r="235" spans="1:17" ht="15" customHeight="1">
      <c r="A235" s="1166">
        <v>76000</v>
      </c>
      <c r="B235" s="1172">
        <v>22800</v>
      </c>
      <c r="C235" s="1224">
        <v>0.9850875740887618</v>
      </c>
      <c r="D235" s="421">
        <v>25.021224250163897</v>
      </c>
      <c r="E235" s="1197">
        <v>0.4838314626058008</v>
      </c>
      <c r="F235" s="1205">
        <v>0.03401898818117679</v>
      </c>
      <c r="G235" s="1206">
        <f t="shared" si="34"/>
        <v>3335.8888778261276</v>
      </c>
      <c r="H235" s="1314">
        <f t="shared" si="35"/>
        <v>3.3358888778261275</v>
      </c>
      <c r="I235" s="1201">
        <v>33.358888778261274</v>
      </c>
      <c r="K235" s="1224">
        <f t="shared" si="27"/>
        <v>0.20632659239289117</v>
      </c>
      <c r="L235" s="1182">
        <f t="shared" si="28"/>
        <v>5.240695419196828</v>
      </c>
      <c r="M235" s="1199">
        <f t="shared" si="29"/>
        <v>0.10133849984278498</v>
      </c>
      <c r="N235" s="1205">
        <f t="shared" si="30"/>
        <v>0.007125277074547479</v>
      </c>
      <c r="O235" s="1206">
        <f t="shared" si="31"/>
        <v>698.7019254606824</v>
      </c>
      <c r="P235" s="1314">
        <f t="shared" si="32"/>
        <v>0.6987019254606824</v>
      </c>
      <c r="Q235" s="1201">
        <f t="shared" si="33"/>
        <v>6.987019254606824</v>
      </c>
    </row>
    <row r="236" spans="1:17" ht="15" customHeight="1">
      <c r="A236" s="1167">
        <v>76333.33333333334</v>
      </c>
      <c r="B236" s="1172">
        <v>22900</v>
      </c>
      <c r="C236" s="1224">
        <v>0.9696582703111328</v>
      </c>
      <c r="D236" s="421">
        <v>24.629319936274776</v>
      </c>
      <c r="E236" s="1197">
        <v>0.47625327076775537</v>
      </c>
      <c r="F236" s="1205">
        <v>0.03348615301335885</v>
      </c>
      <c r="G236" s="1206">
        <f t="shared" si="34"/>
        <v>3283.639266504002</v>
      </c>
      <c r="H236" s="1314">
        <f t="shared" si="35"/>
        <v>3.283639266504002</v>
      </c>
      <c r="I236" s="1201">
        <v>32.83639266504002</v>
      </c>
      <c r="K236" s="1224">
        <f t="shared" si="27"/>
        <v>0.20309492471666676</v>
      </c>
      <c r="L236" s="1182">
        <f t="shared" si="28"/>
        <v>5.158611060652752</v>
      </c>
      <c r="M236" s="1199">
        <f t="shared" si="29"/>
        <v>0.09975124756230636</v>
      </c>
      <c r="N236" s="1205">
        <f t="shared" si="30"/>
        <v>0.007013674748648012</v>
      </c>
      <c r="O236" s="1206">
        <f t="shared" si="31"/>
        <v>687.7582443692633</v>
      </c>
      <c r="P236" s="1314">
        <f t="shared" si="32"/>
        <v>0.6877582443692632</v>
      </c>
      <c r="Q236" s="1201">
        <f t="shared" si="33"/>
        <v>6.877582443692633</v>
      </c>
    </row>
    <row r="237" spans="1:17" ht="15" customHeight="1">
      <c r="A237" s="1168">
        <v>76666.66666666667</v>
      </c>
      <c r="B237" s="1173">
        <v>23000</v>
      </c>
      <c r="C237" s="1225">
        <v>0.9544775935673819</v>
      </c>
      <c r="D237" s="427">
        <v>24.24373074901292</v>
      </c>
      <c r="E237" s="1198">
        <v>0.4687971935361761</v>
      </c>
      <c r="F237" s="1207">
        <v>0.03296190392494086</v>
      </c>
      <c r="G237" s="1208">
        <f t="shared" si="34"/>
        <v>3232.231602820703</v>
      </c>
      <c r="H237" s="1315">
        <f t="shared" si="35"/>
        <v>3.2322316028207028</v>
      </c>
      <c r="I237" s="1202">
        <v>32.32231602820703</v>
      </c>
      <c r="K237" s="1225">
        <f t="shared" si="27"/>
        <v>0.19991533197268815</v>
      </c>
      <c r="L237" s="1184">
        <f t="shared" si="28"/>
        <v>5.077849405380756</v>
      </c>
      <c r="M237" s="1198">
        <f t="shared" si="29"/>
        <v>0.09818957218615208</v>
      </c>
      <c r="N237" s="1207">
        <f t="shared" si="30"/>
        <v>0.006903870777078863</v>
      </c>
      <c r="O237" s="1208">
        <f t="shared" si="31"/>
        <v>676.9909092107962</v>
      </c>
      <c r="P237" s="1315">
        <f t="shared" si="32"/>
        <v>0.6769909092107962</v>
      </c>
      <c r="Q237" s="1202">
        <f t="shared" si="33"/>
        <v>6.769909092107961</v>
      </c>
    </row>
    <row r="238" spans="1:17" ht="15" customHeight="1">
      <c r="A238" s="1165">
        <v>77000</v>
      </c>
      <c r="B238" s="1174">
        <v>23100</v>
      </c>
      <c r="C238" s="1223">
        <v>0.939541425447282</v>
      </c>
      <c r="D238" s="421">
        <v>23.86435208075911</v>
      </c>
      <c r="E238" s="1197">
        <v>0.4614612081300472</v>
      </c>
      <c r="F238" s="1205">
        <v>0.032446098690853145</v>
      </c>
      <c r="G238" s="1206">
        <f t="shared" si="34"/>
        <v>3181.6519402406802</v>
      </c>
      <c r="H238" s="1314">
        <f t="shared" si="35"/>
        <v>3.1816519402406804</v>
      </c>
      <c r="I238" s="1200">
        <v>31.816519402406804</v>
      </c>
      <c r="K238" s="1226">
        <f t="shared" si="27"/>
        <v>0.19678695155993323</v>
      </c>
      <c r="L238" s="1182">
        <f t="shared" si="28"/>
        <v>4.998388543314996</v>
      </c>
      <c r="M238" s="1199">
        <f t="shared" si="29"/>
        <v>0.09665305004283839</v>
      </c>
      <c r="N238" s="1205">
        <f t="shared" si="30"/>
        <v>0.006795835370799191</v>
      </c>
      <c r="O238" s="1206">
        <f t="shared" si="31"/>
        <v>666.3969988834104</v>
      </c>
      <c r="P238" s="1314">
        <f t="shared" si="32"/>
        <v>0.6663969988834105</v>
      </c>
      <c r="Q238" s="1201">
        <f t="shared" si="33"/>
        <v>6.663969988834105</v>
      </c>
    </row>
    <row r="239" spans="1:17" ht="15" customHeight="1">
      <c r="A239" s="1166">
        <v>77333.33333333334</v>
      </c>
      <c r="B239" s="1172">
        <v>23200</v>
      </c>
      <c r="C239" s="1224">
        <v>0.9248457176147565</v>
      </c>
      <c r="D239" s="421">
        <v>23.49108110377755</v>
      </c>
      <c r="E239" s="1197">
        <v>0.4542433261856774</v>
      </c>
      <c r="F239" s="1205">
        <v>0.03193859750596492</v>
      </c>
      <c r="G239" s="1206">
        <f t="shared" si="34"/>
        <v>3131.886569526658</v>
      </c>
      <c r="H239" s="1314">
        <f t="shared" si="35"/>
        <v>3.131886569526658</v>
      </c>
      <c r="I239" s="1201">
        <v>31.31886569526658</v>
      </c>
      <c r="K239" s="1224">
        <f t="shared" si="27"/>
        <v>0.19370893555441077</v>
      </c>
      <c r="L239" s="1182">
        <f t="shared" si="28"/>
        <v>4.920206937186208</v>
      </c>
      <c r="M239" s="1199">
        <f t="shared" si="29"/>
        <v>0.09514126466959014</v>
      </c>
      <c r="N239" s="1205">
        <f t="shared" si="30"/>
        <v>0.006689539247624353</v>
      </c>
      <c r="O239" s="1206">
        <f t="shared" si="31"/>
        <v>655.9736419873585</v>
      </c>
      <c r="P239" s="1314">
        <f t="shared" si="32"/>
        <v>0.6559736419873585</v>
      </c>
      <c r="Q239" s="1201">
        <f t="shared" si="33"/>
        <v>6.559736419873586</v>
      </c>
    </row>
    <row r="240" spans="1:17" ht="15" customHeight="1">
      <c r="A240" s="1166">
        <v>77666.66666666667</v>
      </c>
      <c r="B240" s="1172">
        <v>23300</v>
      </c>
      <c r="C240" s="1224">
        <v>0.9103864905840877</v>
      </c>
      <c r="D240" s="421">
        <v>23.12381673913153</v>
      </c>
      <c r="E240" s="1197">
        <v>0.44714159315562757</v>
      </c>
      <c r="F240" s="1205">
        <v>0.03143926294282186</v>
      </c>
      <c r="G240" s="1206">
        <f t="shared" si="34"/>
        <v>3082.9220145953977</v>
      </c>
      <c r="H240" s="1314">
        <f t="shared" si="35"/>
        <v>3.0829220145953977</v>
      </c>
      <c r="I240" s="1201">
        <v>30.82922014595398</v>
      </c>
      <c r="K240" s="1224">
        <f t="shared" si="27"/>
        <v>0.19068045045283716</v>
      </c>
      <c r="L240" s="1182">
        <f t="shared" si="28"/>
        <v>4.843283416011099</v>
      </c>
      <c r="M240" s="1199">
        <f t="shared" si="29"/>
        <v>0.0936538066864462</v>
      </c>
      <c r="N240" s="1205">
        <f t="shared" si="30"/>
        <v>0.006584953623374038</v>
      </c>
      <c r="O240" s="1206">
        <f t="shared" si="31"/>
        <v>645.7180159570061</v>
      </c>
      <c r="P240" s="1314">
        <f t="shared" si="32"/>
        <v>0.6457180159570061</v>
      </c>
      <c r="Q240" s="1201">
        <f t="shared" si="33"/>
        <v>6.45718015957006</v>
      </c>
    </row>
    <row r="241" spans="1:17" ht="15" customHeight="1">
      <c r="A241" s="1167">
        <v>78000</v>
      </c>
      <c r="B241" s="1172">
        <v>23400</v>
      </c>
      <c r="C241" s="1224">
        <v>0.8961598325180056</v>
      </c>
      <c r="D241" s="421">
        <v>22.762459626154925</v>
      </c>
      <c r="E241" s="1197">
        <v>0.44015408771838516</v>
      </c>
      <c r="F241" s="1205">
        <v>0.030947959910139322</v>
      </c>
      <c r="G241" s="1206">
        <f t="shared" si="34"/>
        <v>3034.7450284475626</v>
      </c>
      <c r="H241" s="1314">
        <f t="shared" si="35"/>
        <v>3.0347450284475626</v>
      </c>
      <c r="I241" s="1201">
        <v>30.347450284475627</v>
      </c>
      <c r="K241" s="1224">
        <f t="shared" si="27"/>
        <v>0.18770067692089626</v>
      </c>
      <c r="L241" s="1182">
        <f t="shared" si="28"/>
        <v>4.767597168698149</v>
      </c>
      <c r="M241" s="1199">
        <f t="shared" si="29"/>
        <v>0.09219027367261577</v>
      </c>
      <c r="N241" s="1205">
        <f t="shared" si="30"/>
        <v>0.006482050203178681</v>
      </c>
      <c r="O241" s="1206">
        <f t="shared" si="31"/>
        <v>635.627346208342</v>
      </c>
      <c r="P241" s="1314">
        <f t="shared" si="32"/>
        <v>0.6356273462083419</v>
      </c>
      <c r="Q241" s="1201">
        <f t="shared" si="33"/>
        <v>6.35627346208342</v>
      </c>
    </row>
    <row r="242" spans="1:17" ht="15" customHeight="1">
      <c r="A242" s="1168">
        <v>78333.33333333334</v>
      </c>
      <c r="B242" s="1173">
        <v>23500</v>
      </c>
      <c r="C242" s="1225">
        <v>0.8821618980473116</v>
      </c>
      <c r="D242" s="427">
        <v>22.4069120924706</v>
      </c>
      <c r="E242" s="1198">
        <v>0.43327892119861566</v>
      </c>
      <c r="F242" s="1207">
        <v>0.030464555612039305</v>
      </c>
      <c r="G242" s="1208">
        <f t="shared" si="34"/>
        <v>2987.3425891705047</v>
      </c>
      <c r="H242" s="1315">
        <f t="shared" si="35"/>
        <v>2.9873425891705048</v>
      </c>
      <c r="I242" s="1202">
        <v>29.873425891705047</v>
      </c>
      <c r="K242" s="1225">
        <f t="shared" si="27"/>
        <v>0.1847688095460094</v>
      </c>
      <c r="L242" s="1184">
        <f t="shared" si="28"/>
        <v>4.693127737767967</v>
      </c>
      <c r="M242" s="1198">
        <f t="shared" si="29"/>
        <v>0.09075027004505005</v>
      </c>
      <c r="N242" s="1207">
        <f t="shared" si="30"/>
        <v>0.0063808011729416325</v>
      </c>
      <c r="O242" s="1208">
        <f t="shared" si="31"/>
        <v>625.6989053017622</v>
      </c>
      <c r="P242" s="1315">
        <f t="shared" si="32"/>
        <v>0.6256989053017622</v>
      </c>
      <c r="Q242" s="1202">
        <f t="shared" si="33"/>
        <v>6.256989053017622</v>
      </c>
    </row>
    <row r="243" spans="1:17" ht="15" customHeight="1">
      <c r="A243" s="1165">
        <v>78666.66666666667</v>
      </c>
      <c r="B243" s="1174">
        <v>23600</v>
      </c>
      <c r="C243" s="1223">
        <v>0.8683889071116109</v>
      </c>
      <c r="D243" s="421">
        <v>22.057078124545033</v>
      </c>
      <c r="E243" s="1197">
        <v>0.4265142369977813</v>
      </c>
      <c r="F243" s="1205">
        <v>0.029988919508016295</v>
      </c>
      <c r="G243" s="1206">
        <f t="shared" si="34"/>
        <v>2940.7018960125333</v>
      </c>
      <c r="H243" s="1314">
        <f t="shared" si="35"/>
        <v>2.9407018960125333</v>
      </c>
      <c r="I243" s="1200">
        <v>29.407018960125335</v>
      </c>
      <c r="K243" s="1226">
        <f t="shared" si="27"/>
        <v>0.1818840565945269</v>
      </c>
      <c r="L243" s="1182">
        <f t="shared" si="28"/>
        <v>4.619855013185957</v>
      </c>
      <c r="M243" s="1199">
        <f t="shared" si="29"/>
        <v>0.08933340693918529</v>
      </c>
      <c r="N243" s="1205">
        <f t="shared" si="30"/>
        <v>0.006281179190954013</v>
      </c>
      <c r="O243" s="1206">
        <f t="shared" si="31"/>
        <v>615.930012119825</v>
      </c>
      <c r="P243" s="1314">
        <f t="shared" si="32"/>
        <v>0.6159300121198251</v>
      </c>
      <c r="Q243" s="1201">
        <f t="shared" si="33"/>
        <v>6.159300121198251</v>
      </c>
    </row>
    <row r="244" spans="1:17" ht="15" customHeight="1">
      <c r="A244" s="1166">
        <v>79000</v>
      </c>
      <c r="B244" s="1172">
        <v>23700</v>
      </c>
      <c r="C244" s="1224">
        <v>0.8548371438208248</v>
      </c>
      <c r="D244" s="421">
        <v>21.712863338770724</v>
      </c>
      <c r="E244" s="1197">
        <v>0.4198582100349665</v>
      </c>
      <c r="F244" s="1205">
        <v>0.029520923273620776</v>
      </c>
      <c r="G244" s="1206">
        <f t="shared" si="34"/>
        <v>2894.810365527557</v>
      </c>
      <c r="H244" s="1314">
        <f t="shared" si="35"/>
        <v>2.894810365527557</v>
      </c>
      <c r="I244" s="1201">
        <v>28.94810365527557</v>
      </c>
      <c r="K244" s="1224">
        <f t="shared" si="27"/>
        <v>0.17904563977327173</v>
      </c>
      <c r="L244" s="1182">
        <f t="shared" si="28"/>
        <v>4.547759226305528</v>
      </c>
      <c r="M244" s="1199">
        <f t="shared" si="29"/>
        <v>0.08793930209182373</v>
      </c>
      <c r="N244" s="1205">
        <f t="shared" si="30"/>
        <v>0.006183157379659871</v>
      </c>
      <c r="O244" s="1206">
        <f t="shared" si="31"/>
        <v>606.3180310597469</v>
      </c>
      <c r="P244" s="1314">
        <f t="shared" si="32"/>
        <v>0.6063180310597468</v>
      </c>
      <c r="Q244" s="1201">
        <f t="shared" si="33"/>
        <v>6.063180310597468</v>
      </c>
    </row>
    <row r="245" spans="1:17" ht="15" customHeight="1">
      <c r="A245" s="1166">
        <v>79333.33333333334</v>
      </c>
      <c r="B245" s="1172">
        <v>23800</v>
      </c>
      <c r="C245" s="1224">
        <v>0.841502955337009</v>
      </c>
      <c r="D245" s="421">
        <v>21.374174953064372</v>
      </c>
      <c r="E245" s="1197">
        <v>0.41330904619767633</v>
      </c>
      <c r="F245" s="1205">
        <v>0.029060440761843973</v>
      </c>
      <c r="G245" s="1206">
        <f t="shared" si="34"/>
        <v>2849.6556277884833</v>
      </c>
      <c r="H245" s="1314">
        <f t="shared" si="35"/>
        <v>2.8496556277884832</v>
      </c>
      <c r="I245" s="1201">
        <v>28.496556277884835</v>
      </c>
      <c r="K245" s="1224">
        <f t="shared" si="27"/>
        <v>0.17625279399533653</v>
      </c>
      <c r="L245" s="1182">
        <f t="shared" si="28"/>
        <v>4.476820943919333</v>
      </c>
      <c r="M245" s="1199">
        <f t="shared" si="29"/>
        <v>0.08656757972610331</v>
      </c>
      <c r="N245" s="1205">
        <f t="shared" si="30"/>
        <v>0.00608670931756822</v>
      </c>
      <c r="O245" s="1206">
        <f t="shared" si="31"/>
        <v>596.8603712402978</v>
      </c>
      <c r="P245" s="1314">
        <f t="shared" si="32"/>
        <v>0.5968603712402978</v>
      </c>
      <c r="Q245" s="1201">
        <f t="shared" si="33"/>
        <v>5.968603712402978</v>
      </c>
    </row>
    <row r="246" spans="1:17" ht="15" customHeight="1">
      <c r="A246" s="1167">
        <v>79666.66666666667</v>
      </c>
      <c r="B246" s="1172">
        <v>23900</v>
      </c>
      <c r="C246" s="1224">
        <v>0.8283827507761915</v>
      </c>
      <c r="D246" s="421">
        <v>21.04092175897357</v>
      </c>
      <c r="E246" s="1197">
        <v>0.4068649818024679</v>
      </c>
      <c r="F246" s="1205">
        <v>0.02860734796519394</v>
      </c>
      <c r="G246" s="1206">
        <f t="shared" si="34"/>
        <v>2805.2255226684174</v>
      </c>
      <c r="H246" s="1314">
        <f t="shared" si="35"/>
        <v>2.8052255226684175</v>
      </c>
      <c r="I246" s="1201">
        <v>28.052255226684174</v>
      </c>
      <c r="K246" s="1224">
        <f t="shared" si="27"/>
        <v>0.17350476715007332</v>
      </c>
      <c r="L246" s="1182">
        <f t="shared" si="28"/>
        <v>4.407021062417014</v>
      </c>
      <c r="M246" s="1199">
        <f t="shared" si="29"/>
        <v>0.0852178704385269</v>
      </c>
      <c r="N246" s="1205">
        <f t="shared" si="30"/>
        <v>0.00599180903130987</v>
      </c>
      <c r="O246" s="1206">
        <f t="shared" si="31"/>
        <v>587.5544857229</v>
      </c>
      <c r="P246" s="1314">
        <f t="shared" si="32"/>
        <v>0.5875544857229</v>
      </c>
      <c r="Q246" s="1201">
        <f t="shared" si="33"/>
        <v>5.875544857229</v>
      </c>
    </row>
    <row r="247" spans="1:17" ht="15" customHeight="1">
      <c r="A247" s="1168">
        <v>80000</v>
      </c>
      <c r="B247" s="1173">
        <v>24000</v>
      </c>
      <c r="C247" s="1225">
        <v>0.8154730001298361</v>
      </c>
      <c r="D247" s="427">
        <v>20.713014094281977</v>
      </c>
      <c r="E247" s="1198">
        <v>0.4005242830652209</v>
      </c>
      <c r="F247" s="1207">
        <v>0.02816152297844943</v>
      </c>
      <c r="G247" s="1208">
        <f t="shared" si="34"/>
        <v>2761.5080961883173</v>
      </c>
      <c r="H247" s="1315">
        <f t="shared" si="35"/>
        <v>2.7615080961883174</v>
      </c>
      <c r="I247" s="1202">
        <v>27.615080961883173</v>
      </c>
      <c r="K247" s="1225">
        <f t="shared" si="27"/>
        <v>0.17080081987719417</v>
      </c>
      <c r="L247" s="1184">
        <f t="shared" si="28"/>
        <v>4.33834080204736</v>
      </c>
      <c r="M247" s="1198">
        <f t="shared" si="29"/>
        <v>0.08388981108801052</v>
      </c>
      <c r="N247" s="1207">
        <f t="shared" si="30"/>
        <v>0.0058984309878362335</v>
      </c>
      <c r="O247" s="1208">
        <f t="shared" si="31"/>
        <v>578.3978707466431</v>
      </c>
      <c r="P247" s="1315">
        <f t="shared" si="32"/>
        <v>0.5783978707466431</v>
      </c>
      <c r="Q247" s="1202">
        <f t="shared" si="33"/>
        <v>5.783978707466431</v>
      </c>
    </row>
    <row r="248" spans="1:17" ht="15" customHeight="1">
      <c r="A248" s="1165">
        <v>80333.33333333334</v>
      </c>
      <c r="B248" s="1174">
        <v>24100</v>
      </c>
      <c r="C248" s="1223">
        <v>0.8027702332055235</v>
      </c>
      <c r="D248" s="421">
        <v>20.390363816102596</v>
      </c>
      <c r="E248" s="1197">
        <v>0.394285245580847</v>
      </c>
      <c r="F248" s="1205">
        <v>0.027722845962077386</v>
      </c>
      <c r="G248" s="1206">
        <f t="shared" si="34"/>
        <v>2718.491596929731</v>
      </c>
      <c r="H248" s="1314">
        <f t="shared" si="35"/>
        <v>2.7184915969297307</v>
      </c>
      <c r="I248" s="1200">
        <v>27.184915969297307</v>
      </c>
      <c r="K248" s="1226">
        <f t="shared" si="27"/>
        <v>0.1681402253448969</v>
      </c>
      <c r="L248" s="1182">
        <f t="shared" si="28"/>
        <v>4.270761701282689</v>
      </c>
      <c r="M248" s="1199">
        <f t="shared" si="29"/>
        <v>0.0825830446869084</v>
      </c>
      <c r="N248" s="1205">
        <f t="shared" si="30"/>
        <v>0.005806550086757108</v>
      </c>
      <c r="O248" s="1206">
        <f t="shared" si="31"/>
        <v>569.3880649769321</v>
      </c>
      <c r="P248" s="1314">
        <f t="shared" si="32"/>
        <v>0.5693880649769321</v>
      </c>
      <c r="Q248" s="1201">
        <f t="shared" si="33"/>
        <v>5.693880649769321</v>
      </c>
    </row>
    <row r="249" spans="1:17" ht="15" customHeight="1">
      <c r="A249" s="1166">
        <v>80666.66666666667</v>
      </c>
      <c r="B249" s="1172">
        <v>24200</v>
      </c>
      <c r="C249" s="1224">
        <v>0.7902710385865687</v>
      </c>
      <c r="D249" s="421">
        <v>20.072884274452086</v>
      </c>
      <c r="E249" s="1197">
        <v>0.38814619381229976</v>
      </c>
      <c r="F249" s="1205">
        <v>0.027291199106304398</v>
      </c>
      <c r="G249" s="1206">
        <f t="shared" si="34"/>
        <v>2676.164472511655</v>
      </c>
      <c r="H249" s="1314">
        <f t="shared" si="35"/>
        <v>2.6761644725116547</v>
      </c>
      <c r="I249" s="1201">
        <v>26.761644725116547</v>
      </c>
      <c r="K249" s="1224">
        <f t="shared" si="27"/>
        <v>0.1655222690319568</v>
      </c>
      <c r="L249" s="1182">
        <f t="shared" si="28"/>
        <v>4.204265611283989</v>
      </c>
      <c r="M249" s="1199">
        <f t="shared" si="29"/>
        <v>0.08129722029398619</v>
      </c>
      <c r="N249" s="1205">
        <f t="shared" si="30"/>
        <v>0.005716141652815456</v>
      </c>
      <c r="O249" s="1206">
        <f t="shared" si="31"/>
        <v>560.5226487675661</v>
      </c>
      <c r="P249" s="1314">
        <f t="shared" si="32"/>
        <v>0.5605226487675661</v>
      </c>
      <c r="Q249" s="1201">
        <f t="shared" si="33"/>
        <v>5.605226487675661</v>
      </c>
    </row>
    <row r="250" spans="1:17" ht="15" customHeight="1">
      <c r="A250" s="1166">
        <v>81000</v>
      </c>
      <c r="B250" s="1172">
        <v>24300</v>
      </c>
      <c r="C250" s="1224">
        <v>0.7779720626102294</v>
      </c>
      <c r="D250" s="421">
        <v>19.760490286297248</v>
      </c>
      <c r="E250" s="1197">
        <v>0.38210548058871624</v>
      </c>
      <c r="F250" s="1205">
        <v>0.026866466595830196</v>
      </c>
      <c r="G250" s="1206">
        <f t="shared" si="34"/>
        <v>2634.5153661303534</v>
      </c>
      <c r="H250" s="1314">
        <f t="shared" si="35"/>
        <v>2.6345153661303535</v>
      </c>
      <c r="I250" s="1201">
        <v>26.345153661303534</v>
      </c>
      <c r="K250" s="1224">
        <f t="shared" si="27"/>
        <v>0.16294624851371256</v>
      </c>
      <c r="L250" s="1182">
        <f t="shared" si="28"/>
        <v>4.138834690464958</v>
      </c>
      <c r="M250" s="1199">
        <f t="shared" si="29"/>
        <v>0.08003199290930661</v>
      </c>
      <c r="N250" s="1205">
        <f t="shared" si="30"/>
        <v>0.005627181428496634</v>
      </c>
      <c r="O250" s="1206">
        <f t="shared" si="31"/>
        <v>551.7992434360025</v>
      </c>
      <c r="P250" s="1314">
        <f t="shared" si="32"/>
        <v>0.5517992434360025</v>
      </c>
      <c r="Q250" s="1201">
        <f t="shared" si="33"/>
        <v>5.517992434360025</v>
      </c>
    </row>
    <row r="251" spans="1:17" ht="15" customHeight="1">
      <c r="A251" s="1167">
        <v>81333.33333333334</v>
      </c>
      <c r="B251" s="1172">
        <v>24400</v>
      </c>
      <c r="C251" s="1224">
        <v>0.7658700083640602</v>
      </c>
      <c r="D251" s="421">
        <v>19.453098110062403</v>
      </c>
      <c r="E251" s="1197">
        <v>0.3761614866124698</v>
      </c>
      <c r="F251" s="1205">
        <v>0.02644853457516774</v>
      </c>
      <c r="G251" s="1206">
        <f t="shared" si="34"/>
        <v>2593.533113160622</v>
      </c>
      <c r="H251" s="1314">
        <f t="shared" si="35"/>
        <v>2.593533113160622</v>
      </c>
      <c r="I251" s="1201">
        <v>25.935331131606222</v>
      </c>
      <c r="K251" s="1224">
        <f t="shared" si="27"/>
        <v>0.1604114732518524</v>
      </c>
      <c r="L251" s="1182">
        <f t="shared" si="28"/>
        <v>4.07445139915257</v>
      </c>
      <c r="M251" s="1199">
        <f t="shared" si="29"/>
        <v>0.0787870233709818</v>
      </c>
      <c r="N251" s="1205">
        <f t="shared" si="30"/>
        <v>0.005539645566768883</v>
      </c>
      <c r="O251" s="1206">
        <f t="shared" si="31"/>
        <v>543.2155105514923</v>
      </c>
      <c r="P251" s="1314">
        <f t="shared" si="32"/>
        <v>0.5432155105514923</v>
      </c>
      <c r="Q251" s="1201">
        <f t="shared" si="33"/>
        <v>5.432155105514923</v>
      </c>
    </row>
    <row r="252" spans="1:17" ht="15" customHeight="1">
      <c r="A252" s="1168">
        <v>81666.66666666667</v>
      </c>
      <c r="B252" s="1173">
        <v>24500</v>
      </c>
      <c r="C252" s="1225">
        <v>0.7539616347002234</v>
      </c>
      <c r="D252" s="427">
        <v>19.15062542059291</v>
      </c>
      <c r="E252" s="1198">
        <v>0.3703126199750439</v>
      </c>
      <c r="F252" s="1207">
        <v>0.026037291114603494</v>
      </c>
      <c r="G252" s="1208">
        <f t="shared" si="34"/>
        <v>2553.206737817864</v>
      </c>
      <c r="H252" s="1315">
        <f t="shared" si="35"/>
        <v>2.553206737817864</v>
      </c>
      <c r="I252" s="1202">
        <v>25.53206737817864</v>
      </c>
      <c r="K252" s="1225">
        <f t="shared" si="27"/>
        <v>0.15791726438796178</v>
      </c>
      <c r="L252" s="1184">
        <f t="shared" si="28"/>
        <v>4.011098494343185</v>
      </c>
      <c r="M252" s="1198">
        <f t="shared" si="29"/>
        <v>0.07756197825377294</v>
      </c>
      <c r="N252" s="1207">
        <f t="shared" si="30"/>
        <v>0.005453510623953702</v>
      </c>
      <c r="O252" s="1208">
        <f t="shared" si="31"/>
        <v>534.7691512359517</v>
      </c>
      <c r="P252" s="1315">
        <f t="shared" si="32"/>
        <v>0.5347691512359516</v>
      </c>
      <c r="Q252" s="1202">
        <f t="shared" si="33"/>
        <v>5.347691512359516</v>
      </c>
    </row>
    <row r="253" spans="1:17" ht="15" customHeight="1">
      <c r="A253" s="1165">
        <v>82000</v>
      </c>
      <c r="B253" s="1174">
        <v>24600</v>
      </c>
      <c r="C253" s="1223">
        <v>0.7422437552673335</v>
      </c>
      <c r="D253" s="421">
        <v>18.852991284564002</v>
      </c>
      <c r="E253" s="1197">
        <v>0.36455731568151656</v>
      </c>
      <c r="F253" s="1205">
        <v>0.02563262617676314</v>
      </c>
      <c r="G253" s="1206">
        <f t="shared" si="34"/>
        <v>2513.525449879536</v>
      </c>
      <c r="H253" s="1314">
        <f t="shared" si="35"/>
        <v>2.5135254498795363</v>
      </c>
      <c r="I253" s="1200">
        <v>25.135254498795362</v>
      </c>
      <c r="K253" s="1226">
        <f t="shared" si="27"/>
        <v>0.15546295454074302</v>
      </c>
      <c r="L253" s="1182">
        <f t="shared" si="28"/>
        <v>3.94875902455193</v>
      </c>
      <c r="M253" s="1199">
        <f t="shared" si="29"/>
        <v>0.07635652976949364</v>
      </c>
      <c r="N253" s="1205">
        <f t="shared" si="30"/>
        <v>0.00536875355272304</v>
      </c>
      <c r="O253" s="1206">
        <f t="shared" si="31"/>
        <v>526.4579054772688</v>
      </c>
      <c r="P253" s="1314">
        <f t="shared" si="32"/>
        <v>0.5264579054772689</v>
      </c>
      <c r="Q253" s="1201">
        <f t="shared" si="33"/>
        <v>5.264579054772689</v>
      </c>
    </row>
    <row r="254" spans="1:17" ht="15" customHeight="1">
      <c r="A254" s="1166">
        <v>82333.33333333334</v>
      </c>
      <c r="B254" s="1172">
        <v>24700</v>
      </c>
      <c r="C254" s="1224">
        <v>0.7307132375595444</v>
      </c>
      <c r="D254" s="421">
        <v>18.560116136327608</v>
      </c>
      <c r="E254" s="1197">
        <v>0.3588940351835138</v>
      </c>
      <c r="F254" s="1205">
        <v>0.02523443158377279</v>
      </c>
      <c r="G254" s="1206">
        <f t="shared" si="34"/>
        <v>2474.4786414649934</v>
      </c>
      <c r="H254" s="1314">
        <f t="shared" si="35"/>
        <v>2.4744786414649935</v>
      </c>
      <c r="I254" s="1201">
        <v>24.744786414649933</v>
      </c>
      <c r="K254" s="1224">
        <f t="shared" si="27"/>
        <v>0.15304788760684657</v>
      </c>
      <c r="L254" s="1182">
        <f t="shared" si="28"/>
        <v>3.8874163247538176</v>
      </c>
      <c r="M254" s="1199">
        <f t="shared" si="29"/>
        <v>0.07517035566918696</v>
      </c>
      <c r="N254" s="1205">
        <f t="shared" si="30"/>
        <v>0.00528535169522121</v>
      </c>
      <c r="O254" s="1206">
        <f t="shared" si="31"/>
        <v>518.2795514548428</v>
      </c>
      <c r="P254" s="1314">
        <f t="shared" si="32"/>
        <v>0.5182795514548428</v>
      </c>
      <c r="Q254" s="1201">
        <f t="shared" si="33"/>
        <v>5.182795514548428</v>
      </c>
    </row>
    <row r="255" spans="1:17" ht="15" customHeight="1">
      <c r="A255" s="1166">
        <v>82666.66666666667</v>
      </c>
      <c r="B255" s="1172">
        <v>24800</v>
      </c>
      <c r="C255" s="1224">
        <v>0.7193670019825591</v>
      </c>
      <c r="D255" s="421">
        <v>18.271921754188995</v>
      </c>
      <c r="E255" s="1197">
        <v>0.3533212659204755</v>
      </c>
      <c r="F255" s="1205">
        <v>0.02484260098500459</v>
      </c>
      <c r="G255" s="1206">
        <f t="shared" si="34"/>
        <v>2436.055883872631</v>
      </c>
      <c r="H255" s="1314">
        <f t="shared" si="35"/>
        <v>2.436055883872631</v>
      </c>
      <c r="I255" s="1201">
        <v>24.360558838726313</v>
      </c>
      <c r="K255" s="1224">
        <f t="shared" si="27"/>
        <v>0.150671418565247</v>
      </c>
      <c r="L255" s="1182">
        <f t="shared" si="28"/>
        <v>3.827054011414885</v>
      </c>
      <c r="M255" s="1199">
        <f t="shared" si="29"/>
        <v>0.0740031391470436</v>
      </c>
      <c r="N255" s="1205">
        <f t="shared" si="30"/>
        <v>0.005203282776309211</v>
      </c>
      <c r="O255" s="1206">
        <f t="shared" si="31"/>
        <v>510.2319048771226</v>
      </c>
      <c r="P255" s="1314">
        <f t="shared" si="32"/>
        <v>0.5102319048771226</v>
      </c>
      <c r="Q255" s="1201">
        <f t="shared" si="33"/>
        <v>5.102319048771226</v>
      </c>
    </row>
    <row r="256" spans="1:17" ht="15" customHeight="1">
      <c r="A256" s="1167">
        <v>83000</v>
      </c>
      <c r="B256" s="1172">
        <v>24900</v>
      </c>
      <c r="C256" s="1224">
        <v>0.7082020209362705</v>
      </c>
      <c r="D256" s="421">
        <v>17.988331237105843</v>
      </c>
      <c r="E256" s="1197">
        <v>0.34783752086908876</v>
      </c>
      <c r="F256" s="1205">
        <v>0.024457029825396673</v>
      </c>
      <c r="G256" s="1206">
        <f t="shared" si="34"/>
        <v>2398.2469244733547</v>
      </c>
      <c r="H256" s="1314">
        <f t="shared" si="35"/>
        <v>2.3982469244733546</v>
      </c>
      <c r="I256" s="1201">
        <v>23.982469244733547</v>
      </c>
      <c r="K256" s="1224">
        <f t="shared" si="27"/>
        <v>0.14833291328510184</v>
      </c>
      <c r="L256" s="1182">
        <f t="shared" si="28"/>
        <v>3.7676559776118186</v>
      </c>
      <c r="M256" s="1199">
        <f t="shared" si="29"/>
        <v>0.07285456874603063</v>
      </c>
      <c r="N256" s="1205">
        <f t="shared" si="30"/>
        <v>0.005122524896929333</v>
      </c>
      <c r="O256" s="1206">
        <f t="shared" si="31"/>
        <v>502.31281833094414</v>
      </c>
      <c r="P256" s="1314">
        <f t="shared" si="32"/>
        <v>0.5023128183309441</v>
      </c>
      <c r="Q256" s="1201">
        <f t="shared" si="33"/>
        <v>5.023128183309441</v>
      </c>
    </row>
    <row r="257" spans="1:17" ht="15" customHeight="1">
      <c r="A257" s="1168">
        <v>83333.33333333334</v>
      </c>
      <c r="B257" s="1173">
        <v>25000</v>
      </c>
      <c r="C257" s="1225">
        <v>0.6972153179137116</v>
      </c>
      <c r="D257" s="427">
        <v>17.709268981801596</v>
      </c>
      <c r="E257" s="1198">
        <v>0.3424413381007319</v>
      </c>
      <c r="F257" s="1207">
        <v>0.024077615314336304</v>
      </c>
      <c r="G257" s="1208">
        <f t="shared" si="34"/>
        <v>2361.041683659272</v>
      </c>
      <c r="H257" s="1315">
        <f t="shared" si="35"/>
        <v>2.361041683659272</v>
      </c>
      <c r="I257" s="1202">
        <v>23.610416836592723</v>
      </c>
      <c r="K257" s="1225">
        <f t="shared" si="27"/>
        <v>0.1460317483370269</v>
      </c>
      <c r="L257" s="1184">
        <f t="shared" si="28"/>
        <v>3.709206388238344</v>
      </c>
      <c r="M257" s="1198">
        <f t="shared" si="29"/>
        <v>0.07172433826519829</v>
      </c>
      <c r="N257" s="1207">
        <f t="shared" si="30"/>
        <v>0.005043056527587739</v>
      </c>
      <c r="O257" s="1208">
        <f t="shared" si="31"/>
        <v>494.5201806424345</v>
      </c>
      <c r="P257" s="1315">
        <f t="shared" si="32"/>
        <v>0.4945201806424345</v>
      </c>
      <c r="Q257" s="1202">
        <f t="shared" si="33"/>
        <v>4.945201806424346</v>
      </c>
    </row>
    <row r="258" spans="1:17" ht="15" customHeight="1">
      <c r="A258" s="1165">
        <v>83666.66666666667</v>
      </c>
      <c r="B258" s="1174">
        <v>25100</v>
      </c>
      <c r="C258" s="1223">
        <v>0.6864039666160057</v>
      </c>
      <c r="D258" s="421">
        <v>17.43466066028517</v>
      </c>
      <c r="E258" s="1197">
        <v>0.3371312803467775</v>
      </c>
      <c r="F258" s="1205">
        <v>0.02370425639509562</v>
      </c>
      <c r="G258" s="1206">
        <f t="shared" si="34"/>
        <v>2324.4302518465724</v>
      </c>
      <c r="H258" s="1314">
        <f t="shared" si="35"/>
        <v>2.3244302518465725</v>
      </c>
      <c r="I258" s="1200">
        <v>23.244302518465727</v>
      </c>
      <c r="K258" s="1226">
        <f t="shared" si="27"/>
        <v>0.1437673108077224</v>
      </c>
      <c r="L258" s="1182">
        <f t="shared" si="28"/>
        <v>3.651689675296729</v>
      </c>
      <c r="M258" s="1199">
        <f t="shared" si="29"/>
        <v>0.07061214666863254</v>
      </c>
      <c r="N258" s="1205">
        <f t="shared" si="30"/>
        <v>0.004964856501952777</v>
      </c>
      <c r="O258" s="1206">
        <f t="shared" si="31"/>
        <v>486.8519162492646</v>
      </c>
      <c r="P258" s="1314">
        <f t="shared" si="32"/>
        <v>0.4868519162492646</v>
      </c>
      <c r="Q258" s="1201">
        <f t="shared" si="33"/>
        <v>4.868519162492646</v>
      </c>
    </row>
    <row r="259" spans="1:17" ht="15" customHeight="1">
      <c r="A259" s="1166">
        <v>84000</v>
      </c>
      <c r="B259" s="1172">
        <v>25200</v>
      </c>
      <c r="C259" s="1224">
        <v>0.6757650900830582</v>
      </c>
      <c r="D259" s="421">
        <v>17.164433197770556</v>
      </c>
      <c r="E259" s="1197">
        <v>0.3319059345716264</v>
      </c>
      <c r="F259" s="1205">
        <v>0.023336853714810944</v>
      </c>
      <c r="G259" s="1206">
        <f t="shared" si="34"/>
        <v>2288.4028865317127</v>
      </c>
      <c r="H259" s="1314">
        <f t="shared" si="35"/>
        <v>2.2884028865317125</v>
      </c>
      <c r="I259" s="1201">
        <v>22.884028865317127</v>
      </c>
      <c r="K259" s="1224">
        <f t="shared" si="27"/>
        <v>0.14153899811789653</v>
      </c>
      <c r="L259" s="1182">
        <f t="shared" si="28"/>
        <v>3.595090533273043</v>
      </c>
      <c r="M259" s="1199">
        <f t="shared" si="29"/>
        <v>0.06951769799602715</v>
      </c>
      <c r="N259" s="1205">
        <f t="shared" si="30"/>
        <v>0.004887904010567152</v>
      </c>
      <c r="O259" s="1206">
        <f t="shared" si="31"/>
        <v>479.30598458406723</v>
      </c>
      <c r="P259" s="1314">
        <f t="shared" si="32"/>
        <v>0.4793059845840672</v>
      </c>
      <c r="Q259" s="1201">
        <f t="shared" si="33"/>
        <v>4.793059845840673</v>
      </c>
    </row>
    <row r="260" spans="1:17" ht="15" customHeight="1">
      <c r="A260" s="1166">
        <v>84333.33333333334</v>
      </c>
      <c r="B260" s="1172">
        <v>25300</v>
      </c>
      <c r="C260" s="1224">
        <v>0.6652958598397124</v>
      </c>
      <c r="D260" s="421">
        <v>16.898514750989143</v>
      </c>
      <c r="E260" s="1197">
        <v>0.32676391155333745</v>
      </c>
      <c r="F260" s="1205">
        <v>0.022975309594996163</v>
      </c>
      <c r="G260" s="1206">
        <f t="shared" si="34"/>
        <v>2252.9500093999673</v>
      </c>
      <c r="H260" s="1314">
        <f t="shared" si="35"/>
        <v>2.2529500093999673</v>
      </c>
      <c r="I260" s="1201">
        <v>22.529500093999673</v>
      </c>
      <c r="K260" s="1224">
        <f t="shared" si="27"/>
        <v>0.13934621784342777</v>
      </c>
      <c r="L260" s="1182">
        <f t="shared" si="28"/>
        <v>3.539393914594676</v>
      </c>
      <c r="M260" s="1199">
        <f t="shared" si="29"/>
        <v>0.06844070127484653</v>
      </c>
      <c r="N260" s="1205">
        <f t="shared" si="30"/>
        <v>0.0048121785946719465</v>
      </c>
      <c r="O260" s="1206">
        <f t="shared" si="31"/>
        <v>471.88037946882315</v>
      </c>
      <c r="P260" s="1314">
        <f t="shared" si="32"/>
        <v>0.47188037946882316</v>
      </c>
      <c r="Q260" s="1201">
        <f t="shared" si="33"/>
        <v>4.718803794688231</v>
      </c>
    </row>
    <row r="261" spans="1:17" ht="15" customHeight="1">
      <c r="A261" s="1167">
        <v>84666.66666666667</v>
      </c>
      <c r="B261" s="1172">
        <v>25400</v>
      </c>
      <c r="C261" s="1224">
        <v>0.6549934950569871</v>
      </c>
      <c r="D261" s="421">
        <v>16.636834686885187</v>
      </c>
      <c r="E261" s="1197">
        <v>0.32170384547166403</v>
      </c>
      <c r="F261" s="1205">
        <v>0.022619528002576928</v>
      </c>
      <c r="G261" s="1206">
        <f t="shared" si="34"/>
        <v>2218.062203485055</v>
      </c>
      <c r="H261" s="1314">
        <f t="shared" si="35"/>
        <v>2.218062203485055</v>
      </c>
      <c r="I261" s="1201">
        <v>22.180622034850547</v>
      </c>
      <c r="K261" s="1224">
        <f t="shared" si="27"/>
        <v>0.13718838753968596</v>
      </c>
      <c r="L261" s="1182">
        <f t="shared" si="28"/>
        <v>3.4845850251681023</v>
      </c>
      <c r="M261" s="1199">
        <f t="shared" si="29"/>
        <v>0.06738087043404004</v>
      </c>
      <c r="N261" s="1205">
        <f t="shared" si="30"/>
        <v>0.004737660140139738</v>
      </c>
      <c r="O261" s="1206">
        <f t="shared" si="31"/>
        <v>464.57312851994476</v>
      </c>
      <c r="P261" s="1314">
        <f t="shared" si="32"/>
        <v>0.4645731285199447</v>
      </c>
      <c r="Q261" s="1201">
        <f t="shared" si="33"/>
        <v>4.645731285199447</v>
      </c>
    </row>
    <row r="262" spans="1:17" ht="15" customHeight="1">
      <c r="A262" s="1168">
        <v>85000</v>
      </c>
      <c r="B262" s="1173">
        <v>25500</v>
      </c>
      <c r="C262" s="1225">
        <v>0.644855261728287</v>
      </c>
      <c r="D262" s="427">
        <v>16.379323561691525</v>
      </c>
      <c r="E262" s="1198">
        <v>0.31672439350344556</v>
      </c>
      <c r="F262" s="1207">
        <v>0.022269414521441912</v>
      </c>
      <c r="G262" s="1208">
        <f t="shared" si="34"/>
        <v>2183.7302103794655</v>
      </c>
      <c r="H262" s="1315">
        <f t="shared" si="35"/>
        <v>2.1837302103794656</v>
      </c>
      <c r="I262" s="1202">
        <v>21.837302103794656</v>
      </c>
      <c r="K262" s="1225">
        <f t="shared" si="27"/>
        <v>0.13506493456898971</v>
      </c>
      <c r="L262" s="1184">
        <f t="shared" si="28"/>
        <v>3.4306493199962897</v>
      </c>
      <c r="M262" s="1198">
        <f t="shared" si="29"/>
        <v>0.06633792421929667</v>
      </c>
      <c r="N262" s="1207">
        <f t="shared" si="30"/>
        <v>0.004664328871516008</v>
      </c>
      <c r="O262" s="1208">
        <f t="shared" si="31"/>
        <v>457.38229256397904</v>
      </c>
      <c r="P262" s="1315">
        <f t="shared" si="32"/>
        <v>0.45738229256397905</v>
      </c>
      <c r="Q262" s="1202">
        <f t="shared" si="33"/>
        <v>4.57382292563979</v>
      </c>
    </row>
    <row r="263" spans="1:17" ht="15" customHeight="1">
      <c r="A263" s="1165">
        <v>85333.33333333334</v>
      </c>
      <c r="B263" s="1174">
        <v>25600</v>
      </c>
      <c r="C263" s="1223">
        <v>0.6348784718601621</v>
      </c>
      <c r="D263" s="421">
        <v>16.12591310037489</v>
      </c>
      <c r="E263" s="1197">
        <v>0.3118242354251439</v>
      </c>
      <c r="F263" s="1205">
        <v>0.02192487632449655</v>
      </c>
      <c r="G263" s="1206">
        <f t="shared" si="34"/>
        <v>2149.9449274940607</v>
      </c>
      <c r="H263" s="1314">
        <f t="shared" si="35"/>
        <v>2.1499449274940607</v>
      </c>
      <c r="I263" s="1200">
        <v>21.499449274940606</v>
      </c>
      <c r="K263" s="1226">
        <f aca="true" t="shared" si="36" ref="K263:K307">C263*$S$7</f>
        <v>0.13297529593111096</v>
      </c>
      <c r="L263" s="1182">
        <f aca="true" t="shared" si="37" ref="L263:L307">D263*$S$7</f>
        <v>3.377572498873521</v>
      </c>
      <c r="M263" s="1199">
        <f aca="true" t="shared" si="38" ref="M263:M307">E263*$S$7</f>
        <v>0.0653115861097964</v>
      </c>
      <c r="N263" s="1205">
        <f aca="true" t="shared" si="39" ref="N263:N307">F263*$S$7</f>
        <v>0.004592165346165802</v>
      </c>
      <c r="O263" s="1206">
        <f aca="true" t="shared" si="40" ref="O263:O307">G263*$S$7</f>
        <v>450.305965063631</v>
      </c>
      <c r="P263" s="1314">
        <f aca="true" t="shared" si="41" ref="P263:P307">H263*$S$7</f>
        <v>0.450305965063631</v>
      </c>
      <c r="Q263" s="1201">
        <f aca="true" t="shared" si="42" ref="Q263:Q307">I263*$S$7</f>
        <v>4.50305965063631</v>
      </c>
    </row>
    <row r="264" spans="1:17" ht="15" customHeight="1">
      <c r="A264" s="1166">
        <v>85666.66666666667</v>
      </c>
      <c r="B264" s="1172">
        <v>25700</v>
      </c>
      <c r="C264" s="1224">
        <v>0.6250604826774337</v>
      </c>
      <c r="D264" s="421">
        <v>15.876536176446102</v>
      </c>
      <c r="E264" s="1197">
        <v>0.3070020732224367</v>
      </c>
      <c r="F264" s="1205">
        <v>0.021585822146212838</v>
      </c>
      <c r="G264" s="1206">
        <f aca="true" t="shared" si="43" ref="G264:G307">I264*100</f>
        <v>2116.6974053663175</v>
      </c>
      <c r="H264" s="1314">
        <f aca="true" t="shared" si="44" ref="H264:H307">G264/1000</f>
        <v>2.1166974053663177</v>
      </c>
      <c r="I264" s="1201">
        <v>21.166974053663175</v>
      </c>
      <c r="K264" s="1224">
        <f t="shared" si="36"/>
        <v>0.1309189180967885</v>
      </c>
      <c r="L264" s="1182">
        <f t="shared" si="37"/>
        <v>3.325340502156636</v>
      </c>
      <c r="M264" s="1199">
        <f t="shared" si="38"/>
        <v>0.06430158423643938</v>
      </c>
      <c r="N264" s="1205">
        <f t="shared" si="39"/>
        <v>0.004521150448524279</v>
      </c>
      <c r="O264" s="1206">
        <f t="shared" si="40"/>
        <v>443.3422715539752</v>
      </c>
      <c r="P264" s="1314">
        <f t="shared" si="41"/>
        <v>0.4433422715539752</v>
      </c>
      <c r="Q264" s="1201">
        <f t="shared" si="42"/>
        <v>4.433422715539752</v>
      </c>
    </row>
    <row r="265" spans="1:17" ht="15" customHeight="1">
      <c r="A265" s="1166">
        <v>86000</v>
      </c>
      <c r="B265" s="1172">
        <v>25800</v>
      </c>
      <c r="C265" s="1224">
        <v>0.6153986958423987</v>
      </c>
      <c r="D265" s="421">
        <v>15.631126792127839</v>
      </c>
      <c r="E265" s="1197">
        <v>0.30225663070672465</v>
      </c>
      <c r="F265" s="1205">
        <v>0.021252162255665393</v>
      </c>
      <c r="G265" s="1206">
        <f t="shared" si="43"/>
        <v>2083.9788450162546</v>
      </c>
      <c r="H265" s="1314">
        <f t="shared" si="44"/>
        <v>2.0839788450162544</v>
      </c>
      <c r="I265" s="1201">
        <v>20.839788450162544</v>
      </c>
      <c r="K265" s="1224">
        <f t="shared" si="36"/>
        <v>0.1288952568441904</v>
      </c>
      <c r="L265" s="1182">
        <f t="shared" si="37"/>
        <v>3.2739395066111756</v>
      </c>
      <c r="M265" s="1199">
        <f t="shared" si="38"/>
        <v>0.06330765130152348</v>
      </c>
      <c r="N265" s="1205">
        <f t="shared" si="39"/>
        <v>0.004451265384449117</v>
      </c>
      <c r="O265" s="1206">
        <f t="shared" si="40"/>
        <v>436.48936908865454</v>
      </c>
      <c r="P265" s="1314">
        <f t="shared" si="41"/>
        <v>0.4364893690886545</v>
      </c>
      <c r="Q265" s="1201">
        <f t="shared" si="42"/>
        <v>4.364893690886545</v>
      </c>
    </row>
    <row r="266" spans="1:17" ht="15" customHeight="1">
      <c r="A266" s="1167">
        <v>86333.33333333334</v>
      </c>
      <c r="B266" s="1172">
        <v>25900</v>
      </c>
      <c r="C266" s="1224">
        <v>0.6058905566878846</v>
      </c>
      <c r="D266" s="421">
        <v>15.38962005887427</v>
      </c>
      <c r="E266" s="1197">
        <v>0.29758665313844246</v>
      </c>
      <c r="F266" s="1205">
        <v>0.02092380843004577</v>
      </c>
      <c r="G266" s="1206">
        <f t="shared" si="43"/>
        <v>2051.780595349257</v>
      </c>
      <c r="H266" s="1314">
        <f t="shared" si="44"/>
        <v>2.051780595349257</v>
      </c>
      <c r="I266" s="1201">
        <v>20.51780595349257</v>
      </c>
      <c r="K266" s="1224">
        <f t="shared" si="36"/>
        <v>0.12690377709827744</v>
      </c>
      <c r="L266" s="1182">
        <f t="shared" si="37"/>
        <v>3.223355921331216</v>
      </c>
      <c r="M266" s="1199">
        <f t="shared" si="38"/>
        <v>0.06232952449984677</v>
      </c>
      <c r="N266" s="1205">
        <f t="shared" si="39"/>
        <v>0.004382491675673087</v>
      </c>
      <c r="O266" s="1206">
        <f t="shared" si="40"/>
        <v>429.7454456959019</v>
      </c>
      <c r="P266" s="1314">
        <f t="shared" si="41"/>
        <v>0.42974544569590184</v>
      </c>
      <c r="Q266" s="1201">
        <f t="shared" si="42"/>
        <v>4.297454456959018</v>
      </c>
    </row>
    <row r="267" spans="1:17" ht="15" customHeight="1">
      <c r="A267" s="1168">
        <v>86666.66666666667</v>
      </c>
      <c r="B267" s="1173">
        <v>26000</v>
      </c>
      <c r="C267" s="1225">
        <v>0.5965335534638524</v>
      </c>
      <c r="D267" s="427">
        <v>15.151952178234735</v>
      </c>
      <c r="E267" s="1198">
        <v>0.2929909068570232</v>
      </c>
      <c r="F267" s="1207">
        <v>0.020600673928644675</v>
      </c>
      <c r="G267" s="1208">
        <f t="shared" si="43"/>
        <v>2020.0941506047823</v>
      </c>
      <c r="H267" s="1315">
        <f t="shared" si="44"/>
        <v>2.0200941506047823</v>
      </c>
      <c r="I267" s="1202">
        <v>20.200941506047823</v>
      </c>
      <c r="K267" s="1225">
        <f t="shared" si="36"/>
        <v>0.12494395277300388</v>
      </c>
      <c r="L267" s="1184">
        <f t="shared" si="37"/>
        <v>3.173576383731265</v>
      </c>
      <c r="M267" s="1198">
        <f t="shared" si="38"/>
        <v>0.06136694544120351</v>
      </c>
      <c r="N267" s="1207">
        <f t="shared" si="39"/>
        <v>0.004314811154354627</v>
      </c>
      <c r="O267" s="1208">
        <f t="shared" si="40"/>
        <v>423.1087198441716</v>
      </c>
      <c r="P267" s="1315">
        <f t="shared" si="41"/>
        <v>0.42310871984417164</v>
      </c>
      <c r="Q267" s="1202">
        <f t="shared" si="42"/>
        <v>4.231087198441716</v>
      </c>
    </row>
    <row r="268" spans="1:17" ht="15" customHeight="1">
      <c r="A268" s="1165">
        <v>87000</v>
      </c>
      <c r="B268" s="1174">
        <v>26100</v>
      </c>
      <c r="C268" s="1223">
        <v>0.5873252165973423</v>
      </c>
      <c r="D268" s="421">
        <v>14.918060423056387</v>
      </c>
      <c r="E268" s="1197">
        <v>0.28846817891741666</v>
      </c>
      <c r="F268" s="1205">
        <v>0.020282673467294957</v>
      </c>
      <c r="G268" s="1206">
        <f t="shared" si="43"/>
        <v>1988.9111478502477</v>
      </c>
      <c r="H268" s="1314">
        <f t="shared" si="44"/>
        <v>1.9889111478502477</v>
      </c>
      <c r="I268" s="1200">
        <v>19.88911147850248</v>
      </c>
      <c r="K268" s="1226">
        <f t="shared" si="36"/>
        <v>0.12301526661631333</v>
      </c>
      <c r="L268" s="1182">
        <f t="shared" si="37"/>
        <v>3.12458775560916</v>
      </c>
      <c r="M268" s="1199">
        <f t="shared" si="38"/>
        <v>0.060419660074252916</v>
      </c>
      <c r="N268" s="1205">
        <f t="shared" si="39"/>
        <v>0.004248205957724929</v>
      </c>
      <c r="O268" s="1206">
        <f t="shared" si="40"/>
        <v>416.57743991723436</v>
      </c>
      <c r="P268" s="1314">
        <f t="shared" si="41"/>
        <v>0.4165774399172344</v>
      </c>
      <c r="Q268" s="1201">
        <f t="shared" si="42"/>
        <v>4.165774399172344</v>
      </c>
    </row>
    <row r="269" spans="1:17" ht="15" customHeight="1">
      <c r="A269" s="1166">
        <v>87333.33333333334</v>
      </c>
      <c r="B269" s="1172">
        <v>26200</v>
      </c>
      <c r="C269" s="1224">
        <v>0.5782631179655261</v>
      </c>
      <c r="D269" s="421">
        <v>14.687883119019716</v>
      </c>
      <c r="E269" s="1197">
        <v>0.2840172767330444</v>
      </c>
      <c r="F269" s="1205">
        <v>0.019969723193267203</v>
      </c>
      <c r="G269" s="1206">
        <f t="shared" si="43"/>
        <v>1958.223364519306</v>
      </c>
      <c r="H269" s="1314">
        <f t="shared" si="44"/>
        <v>1.958223364519306</v>
      </c>
      <c r="I269" s="1201">
        <v>19.58223364519306</v>
      </c>
      <c r="K269" s="1224">
        <f t="shared" si="36"/>
        <v>0.12111721005787944</v>
      </c>
      <c r="L269" s="1182">
        <f t="shared" si="37"/>
        <v>3.0763771192786793</v>
      </c>
      <c r="M269" s="1199">
        <f t="shared" si="38"/>
        <v>0.05948741861173615</v>
      </c>
      <c r="N269" s="1205">
        <f t="shared" si="39"/>
        <v>0.004182658522829816</v>
      </c>
      <c r="O269" s="1206">
        <f t="shared" si="40"/>
        <v>410.1498836985686</v>
      </c>
      <c r="P269" s="1314">
        <f t="shared" si="41"/>
        <v>0.41014988369856864</v>
      </c>
      <c r="Q269" s="1201">
        <f t="shared" si="42"/>
        <v>4.101498836985686</v>
      </c>
    </row>
    <row r="270" spans="1:17" ht="15" customHeight="1">
      <c r="A270" s="1166">
        <v>87666.66666666667</v>
      </c>
      <c r="B270" s="1172">
        <v>26300</v>
      </c>
      <c r="C270" s="1224">
        <v>0.5693448701815798</v>
      </c>
      <c r="D270" s="421">
        <v>14.461359626499707</v>
      </c>
      <c r="E270" s="1197">
        <v>0.2796370277250522</v>
      </c>
      <c r="F270" s="1205">
        <v>0.01966174066060809</v>
      </c>
      <c r="G270" s="1206">
        <f t="shared" si="43"/>
        <v>1928.02271599353</v>
      </c>
      <c r="H270" s="1314">
        <f t="shared" si="44"/>
        <v>1.92802271599353</v>
      </c>
      <c r="I270" s="1201">
        <v>19.2802271599353</v>
      </c>
      <c r="K270" s="1224">
        <f t="shared" si="36"/>
        <v>0.11924928305953188</v>
      </c>
      <c r="L270" s="1182">
        <f t="shared" si="37"/>
        <v>3.028931773770364</v>
      </c>
      <c r="M270" s="1199">
        <f t="shared" si="38"/>
        <v>0.05856997545701219</v>
      </c>
      <c r="N270" s="1205">
        <f t="shared" si="39"/>
        <v>0.004118151581364364</v>
      </c>
      <c r="O270" s="1206">
        <f t="shared" si="40"/>
        <v>403.82435786484484</v>
      </c>
      <c r="P270" s="1314">
        <f t="shared" si="41"/>
        <v>0.40382435786484483</v>
      </c>
      <c r="Q270" s="1201">
        <f t="shared" si="42"/>
        <v>4.038243578648449</v>
      </c>
    </row>
    <row r="271" spans="1:17" ht="15" customHeight="1">
      <c r="A271" s="1167">
        <v>88000</v>
      </c>
      <c r="B271" s="1172">
        <v>26400</v>
      </c>
      <c r="C271" s="1224">
        <v>0.5605681258931997</v>
      </c>
      <c r="D271" s="421">
        <v>14.238430322748167</v>
      </c>
      <c r="E271" s="1197">
        <v>0.2753262789777724</v>
      </c>
      <c r="F271" s="1205">
        <v>0.01935864480591537</v>
      </c>
      <c r="G271" s="1206">
        <f t="shared" si="43"/>
        <v>1898.3012532269186</v>
      </c>
      <c r="H271" s="1314">
        <f t="shared" si="44"/>
        <v>1.8983012532269186</v>
      </c>
      <c r="I271" s="1201">
        <v>18.983012532269186</v>
      </c>
      <c r="K271" s="1224">
        <f t="shared" si="36"/>
        <v>0.11741099396833067</v>
      </c>
      <c r="L271" s="1182">
        <f t="shared" si="37"/>
        <v>2.9822392310996038</v>
      </c>
      <c r="M271" s="1199">
        <f t="shared" si="38"/>
        <v>0.05766708913189443</v>
      </c>
      <c r="N271" s="1205">
        <f t="shared" si="39"/>
        <v>0.004054668154598974</v>
      </c>
      <c r="O271" s="1206">
        <f t="shared" si="40"/>
        <v>397.5991974883781</v>
      </c>
      <c r="P271" s="1314">
        <f t="shared" si="41"/>
        <v>0.3975991974883781</v>
      </c>
      <c r="Q271" s="1201">
        <f t="shared" si="42"/>
        <v>3.975991974883781</v>
      </c>
    </row>
    <row r="272" spans="1:17" ht="15" customHeight="1">
      <c r="A272" s="1168">
        <v>88333.33333333334</v>
      </c>
      <c r="B272" s="1173">
        <v>26500</v>
      </c>
      <c r="C272" s="1225">
        <v>0.5519305770935122</v>
      </c>
      <c r="D272" s="427">
        <v>14.01903658439081</v>
      </c>
      <c r="E272" s="1198">
        <v>0.2710838969002728</v>
      </c>
      <c r="F272" s="1207">
        <v>0.01906035592454082</v>
      </c>
      <c r="G272" s="1208">
        <f t="shared" si="43"/>
        <v>1869.0511604123667</v>
      </c>
      <c r="H272" s="1315">
        <f t="shared" si="44"/>
        <v>1.8690511604123667</v>
      </c>
      <c r="I272" s="1202">
        <v>18.690511604123667</v>
      </c>
      <c r="K272" s="1225">
        <f t="shared" si="36"/>
        <v>0.11560185937223613</v>
      </c>
      <c r="L272" s="1184">
        <f t="shared" si="37"/>
        <v>2.936287212600655</v>
      </c>
      <c r="M272" s="1198">
        <f t="shared" si="38"/>
        <v>0.056778522205762134</v>
      </c>
      <c r="N272" s="1207">
        <f t="shared" si="39"/>
        <v>0.003992191548395075</v>
      </c>
      <c r="O272" s="1208">
        <f t="shared" si="40"/>
        <v>391.4727655483702</v>
      </c>
      <c r="P272" s="1315">
        <f t="shared" si="41"/>
        <v>0.3914727655483702</v>
      </c>
      <c r="Q272" s="1202">
        <f t="shared" si="42"/>
        <v>3.914727655483702</v>
      </c>
    </row>
    <row r="273" spans="1:17" ht="15" customHeight="1">
      <c r="A273" s="1165">
        <v>88666.66666666667</v>
      </c>
      <c r="B273" s="1174">
        <v>26600</v>
      </c>
      <c r="C273" s="1223">
        <v>0.5434299544441302</v>
      </c>
      <c r="D273" s="421">
        <v>13.803120770232905</v>
      </c>
      <c r="E273" s="1197">
        <v>0.26690876689387205</v>
      </c>
      <c r="F273" s="1205">
        <v>0.018766795647212713</v>
      </c>
      <c r="G273" s="1206">
        <f t="shared" si="43"/>
        <v>1840.264752689275</v>
      </c>
      <c r="H273" s="1314">
        <f t="shared" si="44"/>
        <v>1.840264752689275</v>
      </c>
      <c r="I273" s="1200">
        <v>18.40264752689275</v>
      </c>
      <c r="K273" s="1226">
        <f t="shared" si="36"/>
        <v>0.11382140395832308</v>
      </c>
      <c r="L273" s="1182">
        <f t="shared" si="37"/>
        <v>2.891063645325282</v>
      </c>
      <c r="M273" s="1199">
        <f t="shared" si="38"/>
        <v>0.0559040412259215</v>
      </c>
      <c r="N273" s="1205">
        <f t="shared" si="39"/>
        <v>0.003930705348308703</v>
      </c>
      <c r="O273" s="1206">
        <f t="shared" si="40"/>
        <v>385.44345245076863</v>
      </c>
      <c r="P273" s="1314">
        <f t="shared" si="41"/>
        <v>0.38544345245076866</v>
      </c>
      <c r="Q273" s="1201">
        <f t="shared" si="42"/>
        <v>3.8544345245076865</v>
      </c>
    </row>
    <row r="274" spans="1:17" ht="15" customHeight="1">
      <c r="A274" s="1166">
        <v>89000</v>
      </c>
      <c r="B274" s="1172">
        <v>26700</v>
      </c>
      <c r="C274" s="1224">
        <v>0.5350640266101587</v>
      </c>
      <c r="D274" s="421">
        <v>13.590626204368421</v>
      </c>
      <c r="E274" s="1197">
        <v>0.2627997930255241</v>
      </c>
      <c r="F274" s="1205">
        <v>0.018477886917070908</v>
      </c>
      <c r="G274" s="1206">
        <f t="shared" si="43"/>
        <v>1811.9344738916186</v>
      </c>
      <c r="H274" s="1314">
        <f t="shared" si="44"/>
        <v>1.8119344738916185</v>
      </c>
      <c r="I274" s="1201">
        <v>18.119344738916187</v>
      </c>
      <c r="K274" s="1224">
        <f t="shared" si="36"/>
        <v>0.11206916037349775</v>
      </c>
      <c r="L274" s="1182">
        <f t="shared" si="37"/>
        <v>2.8465566585049658</v>
      </c>
      <c r="M274" s="1199">
        <f t="shared" si="38"/>
        <v>0.05504341664919602</v>
      </c>
      <c r="N274" s="1205">
        <f t="shared" si="39"/>
        <v>0.0038701934147805017</v>
      </c>
      <c r="O274" s="1206">
        <f t="shared" si="40"/>
        <v>379.5096755565995</v>
      </c>
      <c r="P274" s="1314">
        <f t="shared" si="41"/>
        <v>0.3795096755565995</v>
      </c>
      <c r="Q274" s="1201">
        <f t="shared" si="42"/>
        <v>3.795096755565995</v>
      </c>
    </row>
    <row r="275" spans="1:17" ht="15" customHeight="1">
      <c r="A275" s="1166">
        <v>89333.33333333334</v>
      </c>
      <c r="B275" s="1172">
        <v>26800</v>
      </c>
      <c r="C275" s="1224">
        <v>0.526830599606967</v>
      </c>
      <c r="D275" s="421">
        <v>13.38149715958803</v>
      </c>
      <c r="E275" s="1197">
        <v>0.25875589770698115</v>
      </c>
      <c r="F275" s="1205">
        <v>0.018193553967108304</v>
      </c>
      <c r="G275" s="1206">
        <f t="shared" si="43"/>
        <v>1784.0528943358645</v>
      </c>
      <c r="H275" s="1314">
        <f t="shared" si="44"/>
        <v>1.7840528943358644</v>
      </c>
      <c r="I275" s="1201">
        <v>17.840528943358645</v>
      </c>
      <c r="K275" s="1224">
        <f t="shared" si="36"/>
        <v>0.11034466908767923</v>
      </c>
      <c r="L275" s="1182">
        <f t="shared" si="37"/>
        <v>2.8027545800757125</v>
      </c>
      <c r="M275" s="1199">
        <f t="shared" si="38"/>
        <v>0.0541964227747272</v>
      </c>
      <c r="N275" s="1205">
        <f t="shared" si="39"/>
        <v>0.0038106398784108343</v>
      </c>
      <c r="O275" s="1206">
        <f t="shared" si="40"/>
        <v>373.6698787186468</v>
      </c>
      <c r="P275" s="1314">
        <f t="shared" si="41"/>
        <v>0.3736698787186468</v>
      </c>
      <c r="Q275" s="1201">
        <f t="shared" si="42"/>
        <v>3.736698787186468</v>
      </c>
    </row>
    <row r="276" spans="1:17" ht="15" customHeight="1">
      <c r="A276" s="1167">
        <v>89666.66666666667</v>
      </c>
      <c r="B276" s="1172">
        <v>26900</v>
      </c>
      <c r="C276" s="1224">
        <v>0.518727516158414</v>
      </c>
      <c r="D276" s="421">
        <v>13.175678841078037</v>
      </c>
      <c r="E276" s="1197">
        <v>0.25477602137958266</v>
      </c>
      <c r="F276" s="1205">
        <v>0.017913722298007813</v>
      </c>
      <c r="G276" s="1206">
        <f t="shared" si="43"/>
        <v>1756.6127086476736</v>
      </c>
      <c r="H276" s="1314">
        <f t="shared" si="44"/>
        <v>1.7566127086476735</v>
      </c>
      <c r="I276" s="1201">
        <v>17.566127086476737</v>
      </c>
      <c r="K276" s="1224">
        <f t="shared" si="36"/>
        <v>0.1086474782593798</v>
      </c>
      <c r="L276" s="1182">
        <f t="shared" si="37"/>
        <v>2.7596459332637946</v>
      </c>
      <c r="M276" s="1199">
        <f t="shared" si="38"/>
        <v>0.053362837677953585</v>
      </c>
      <c r="N276" s="1205">
        <f t="shared" si="39"/>
        <v>0.0037520291353177362</v>
      </c>
      <c r="O276" s="1206">
        <f t="shared" si="40"/>
        <v>367.92253182625524</v>
      </c>
      <c r="P276" s="1314">
        <f t="shared" si="41"/>
        <v>0.36792253182625523</v>
      </c>
      <c r="Q276" s="1201">
        <f t="shared" si="42"/>
        <v>3.6792253182625525</v>
      </c>
    </row>
    <row r="277" spans="1:17" ht="15" customHeight="1">
      <c r="A277" s="1168">
        <v>90000</v>
      </c>
      <c r="B277" s="1173">
        <v>27000</v>
      </c>
      <c r="C277" s="1225">
        <v>0.5107526550664439</v>
      </c>
      <c r="D277" s="427">
        <v>12.97311737040811</v>
      </c>
      <c r="E277" s="1198">
        <v>0.25085912220462836</v>
      </c>
      <c r="F277" s="1207">
        <v>0.017638318656371974</v>
      </c>
      <c r="G277" s="1208">
        <f t="shared" si="43"/>
        <v>1729.6067336271076</v>
      </c>
      <c r="H277" s="1315">
        <f t="shared" si="44"/>
        <v>1.7296067336271075</v>
      </c>
      <c r="I277" s="1202">
        <v>17.296067336271076</v>
      </c>
      <c r="K277" s="1225">
        <f t="shared" si="36"/>
        <v>0.10697714360366667</v>
      </c>
      <c r="L277" s="1184">
        <f t="shared" si="37"/>
        <v>2.7172194332319783</v>
      </c>
      <c r="M277" s="1198">
        <f t="shared" si="38"/>
        <v>0.05254244314575941</v>
      </c>
      <c r="N277" s="1207">
        <f t="shared" si="39"/>
        <v>0.00369434584257711</v>
      </c>
      <c r="O277" s="1208">
        <f t="shared" si="40"/>
        <v>362.2661303581977</v>
      </c>
      <c r="P277" s="1315">
        <f t="shared" si="41"/>
        <v>0.36226613035819766</v>
      </c>
      <c r="Q277" s="1202">
        <f t="shared" si="42"/>
        <v>3.622661303581977</v>
      </c>
    </row>
    <row r="278" spans="1:17" ht="15" customHeight="1">
      <c r="A278" s="1165">
        <v>90333.33333333334</v>
      </c>
      <c r="B278" s="1174">
        <v>27100</v>
      </c>
      <c r="C278" s="1223">
        <v>0.502903930591763</v>
      </c>
      <c r="D278" s="421">
        <v>12.773759769800465</v>
      </c>
      <c r="E278" s="1197">
        <v>0.24700417575919426</v>
      </c>
      <c r="F278" s="1205">
        <v>0.01736727101333529</v>
      </c>
      <c r="G278" s="1206">
        <f t="shared" si="43"/>
        <v>1703.0279061513581</v>
      </c>
      <c r="H278" s="1314">
        <f t="shared" si="44"/>
        <v>1.7030279061513582</v>
      </c>
      <c r="I278" s="1200">
        <v>17.030279061513582</v>
      </c>
      <c r="K278" s="1226">
        <f t="shared" si="36"/>
        <v>0.10533322826244475</v>
      </c>
      <c r="L278" s="1182">
        <f t="shared" si="37"/>
        <v>2.6754639837847076</v>
      </c>
      <c r="M278" s="1199">
        <f t="shared" si="38"/>
        <v>0.051735024612763233</v>
      </c>
      <c r="N278" s="1205">
        <f t="shared" si="39"/>
        <v>0.0036375749137430766</v>
      </c>
      <c r="O278" s="1206">
        <f t="shared" si="40"/>
        <v>356.69919494340195</v>
      </c>
      <c r="P278" s="1314">
        <f t="shared" si="41"/>
        <v>0.35669919494340196</v>
      </c>
      <c r="Q278" s="1201">
        <f t="shared" si="42"/>
        <v>3.5669919494340196</v>
      </c>
    </row>
    <row r="279" spans="1:17" ht="15" customHeight="1">
      <c r="A279" s="1166">
        <v>90666.66666666667</v>
      </c>
      <c r="B279" s="1172">
        <v>27200</v>
      </c>
      <c r="C279" s="1224">
        <v>0.4951792918454078</v>
      </c>
      <c r="D279" s="421">
        <v>12.577553946675707</v>
      </c>
      <c r="E279" s="1197">
        <v>0.2432101747372976</v>
      </c>
      <c r="F279" s="1205">
        <v>0.017100508543552644</v>
      </c>
      <c r="G279" s="1206">
        <f t="shared" si="43"/>
        <v>1676.869281114363</v>
      </c>
      <c r="H279" s="1314">
        <f t="shared" si="44"/>
        <v>1.676869281114363</v>
      </c>
      <c r="I279" s="1201">
        <v>16.76869281114363</v>
      </c>
      <c r="K279" s="1224">
        <f t="shared" si="36"/>
        <v>0.10371530267702067</v>
      </c>
      <c r="L279" s="1182">
        <f t="shared" si="37"/>
        <v>2.6343686741312267</v>
      </c>
      <c r="M279" s="1199">
        <f t="shared" si="38"/>
        <v>0.05094037109872698</v>
      </c>
      <c r="N279" s="1205">
        <f t="shared" si="39"/>
        <v>0.0035817015144471013</v>
      </c>
      <c r="O279" s="1206">
        <f t="shared" si="40"/>
        <v>351.22027092940334</v>
      </c>
      <c r="P279" s="1314">
        <f t="shared" si="41"/>
        <v>0.35122027092940333</v>
      </c>
      <c r="Q279" s="1201">
        <f t="shared" si="42"/>
        <v>3.512202709294033</v>
      </c>
    </row>
    <row r="280" spans="1:17" ht="15" customHeight="1">
      <c r="A280" s="1166">
        <v>91000</v>
      </c>
      <c r="B280" s="1172">
        <v>27300</v>
      </c>
      <c r="C280" s="1224">
        <v>0.4875767221910399</v>
      </c>
      <c r="D280" s="421">
        <v>12.384448678471106</v>
      </c>
      <c r="E280" s="1197">
        <v>0.23947612865633072</v>
      </c>
      <c r="F280" s="1205">
        <v>0.016837961604558152</v>
      </c>
      <c r="G280" s="1206">
        <f t="shared" si="43"/>
        <v>1651.124029402743</v>
      </c>
      <c r="H280" s="1314">
        <f t="shared" si="44"/>
        <v>1.651124029402743</v>
      </c>
      <c r="I280" s="1201">
        <v>16.51124029402743</v>
      </c>
      <c r="K280" s="1224">
        <f t="shared" si="36"/>
        <v>0.10212294446291331</v>
      </c>
      <c r="L280" s="1182">
        <f t="shared" si="37"/>
        <v>2.593922775705773</v>
      </c>
      <c r="M280" s="1199">
        <f t="shared" si="38"/>
        <v>0.05015827514706847</v>
      </c>
      <c r="N280" s="1205">
        <f t="shared" si="39"/>
        <v>0.003526711058074705</v>
      </c>
      <c r="O280" s="1206">
        <f t="shared" si="40"/>
        <v>345.82792795840453</v>
      </c>
      <c r="P280" s="1314">
        <f t="shared" si="41"/>
        <v>0.3458279279584045</v>
      </c>
      <c r="Q280" s="1201">
        <f t="shared" si="42"/>
        <v>3.4582792795840454</v>
      </c>
    </row>
    <row r="281" spans="1:17" ht="15" customHeight="1">
      <c r="A281" s="1167">
        <v>91333.33333333334</v>
      </c>
      <c r="B281" s="1172">
        <v>27400</v>
      </c>
      <c r="C281" s="1224">
        <v>0.48009423865776873</v>
      </c>
      <c r="D281" s="421">
        <v>12.194393597726307</v>
      </c>
      <c r="E281" s="1197">
        <v>0.23580106356866554</v>
      </c>
      <c r="F281" s="1205">
        <v>0.016579561716487626</v>
      </c>
      <c r="G281" s="1206">
        <f t="shared" si="43"/>
        <v>1625.7854359073924</v>
      </c>
      <c r="H281" s="1314">
        <f t="shared" si="44"/>
        <v>1.6257854359073924</v>
      </c>
      <c r="I281" s="1201">
        <v>16.257854359073924</v>
      </c>
      <c r="K281" s="1224">
        <f t="shared" si="36"/>
        <v>0.10055573828686966</v>
      </c>
      <c r="L281" s="1182">
        <f t="shared" si="37"/>
        <v>2.554115739043775</v>
      </c>
      <c r="M281" s="1199">
        <f t="shared" si="38"/>
        <v>0.049388532764457</v>
      </c>
      <c r="N281" s="1205">
        <f t="shared" si="39"/>
        <v>0.003472589201518333</v>
      </c>
      <c r="O281" s="1206">
        <f t="shared" si="40"/>
        <v>340.52075955080335</v>
      </c>
      <c r="P281" s="1314">
        <f t="shared" si="41"/>
        <v>0.34052075955080335</v>
      </c>
      <c r="Q281" s="1201">
        <f t="shared" si="42"/>
        <v>3.4052075955080334</v>
      </c>
    </row>
    <row r="282" spans="1:17" ht="15" customHeight="1">
      <c r="A282" s="1168">
        <v>91666.66666666667</v>
      </c>
      <c r="B282" s="1173">
        <v>27500</v>
      </c>
      <c r="C282" s="1225">
        <v>0.4727298913632571</v>
      </c>
      <c r="D282" s="427">
        <v>12.00733917743021</v>
      </c>
      <c r="E282" s="1198">
        <v>0.23218402177830835</v>
      </c>
      <c r="F282" s="1207">
        <v>0.016325241542156102</v>
      </c>
      <c r="G282" s="1208">
        <f t="shared" si="43"/>
        <v>1600.8468975698893</v>
      </c>
      <c r="H282" s="1315">
        <f t="shared" si="44"/>
        <v>1.6008468975698893</v>
      </c>
      <c r="I282" s="1202">
        <v>16.008468975698893</v>
      </c>
      <c r="K282" s="1225">
        <f t="shared" si="36"/>
        <v>0.0990132757460342</v>
      </c>
      <c r="L282" s="1184">
        <f t="shared" si="37"/>
        <v>2.5149371907127573</v>
      </c>
      <c r="M282" s="1198">
        <f t="shared" si="38"/>
        <v>0.048630943361466686</v>
      </c>
      <c r="N282" s="1207">
        <f t="shared" si="39"/>
        <v>0.0034193218410045957</v>
      </c>
      <c r="O282" s="1208">
        <f t="shared" si="40"/>
        <v>335.2973826960133</v>
      </c>
      <c r="P282" s="1315">
        <f t="shared" si="41"/>
        <v>0.33529738269601334</v>
      </c>
      <c r="Q282" s="1202">
        <f t="shared" si="42"/>
        <v>3.3529738269601332</v>
      </c>
    </row>
    <row r="283" spans="1:17" ht="15" customHeight="1">
      <c r="A283" s="1165">
        <v>92000</v>
      </c>
      <c r="B283" s="1174">
        <v>27600</v>
      </c>
      <c r="C283" s="1223">
        <v>0.4654817629470046</v>
      </c>
      <c r="D283" s="421">
        <v>11.823236716626356</v>
      </c>
      <c r="E283" s="1197">
        <v>0.22862406156255383</v>
      </c>
      <c r="F283" s="1205">
        <v>0.016074934867486863</v>
      </c>
      <c r="G283" s="1206">
        <f t="shared" si="43"/>
        <v>1576.3019214633757</v>
      </c>
      <c r="H283" s="1314">
        <f t="shared" si="44"/>
        <v>1.5763019214633758</v>
      </c>
      <c r="I283" s="1200">
        <v>15.763019214633758</v>
      </c>
      <c r="K283" s="1226">
        <f t="shared" si="36"/>
        <v>0.09749515524925012</v>
      </c>
      <c r="L283" s="1182">
        <f t="shared" si="37"/>
        <v>2.4763769302973904</v>
      </c>
      <c r="M283" s="1199">
        <f t="shared" si="38"/>
        <v>0.0478853096942769</v>
      </c>
      <c r="N283" s="1205">
        <f t="shared" si="39"/>
        <v>0.0033668951079951232</v>
      </c>
      <c r="O283" s="1206">
        <f t="shared" si="40"/>
        <v>330.15643745050403</v>
      </c>
      <c r="P283" s="1314">
        <f t="shared" si="41"/>
        <v>0.33015643745050405</v>
      </c>
      <c r="Q283" s="1201">
        <f t="shared" si="42"/>
        <v>3.3015643745050407</v>
      </c>
    </row>
    <row r="284" spans="1:17" ht="15" customHeight="1">
      <c r="A284" s="1166">
        <v>92333.33333333334</v>
      </c>
      <c r="B284" s="1172">
        <v>27700</v>
      </c>
      <c r="C284" s="1224">
        <v>0.4583479680135797</v>
      </c>
      <c r="D284" s="421">
        <v>11.642038326271038</v>
      </c>
      <c r="E284" s="1197">
        <v>0.22512025689852522</v>
      </c>
      <c r="F284" s="1205">
        <v>0.015828576582284034</v>
      </c>
      <c r="G284" s="1206">
        <f t="shared" si="43"/>
        <v>1552.1441229071224</v>
      </c>
      <c r="H284" s="1314">
        <f t="shared" si="44"/>
        <v>1.5521441229071224</v>
      </c>
      <c r="I284" s="1201">
        <v>15.521441229071224</v>
      </c>
      <c r="K284" s="1224">
        <f t="shared" si="36"/>
        <v>0.09600098190044426</v>
      </c>
      <c r="L284" s="1182">
        <f t="shared" si="37"/>
        <v>2.438424927437469</v>
      </c>
      <c r="M284" s="1199">
        <f t="shared" si="38"/>
        <v>0.047151437807396106</v>
      </c>
      <c r="N284" s="1205">
        <f t="shared" si="39"/>
        <v>0.003315295365159391</v>
      </c>
      <c r="O284" s="1206">
        <f t="shared" si="40"/>
        <v>325.0965865428968</v>
      </c>
      <c r="P284" s="1314">
        <f t="shared" si="41"/>
        <v>0.3250965865428968</v>
      </c>
      <c r="Q284" s="1201">
        <f t="shared" si="42"/>
        <v>3.250965865428968</v>
      </c>
    </row>
    <row r="285" spans="1:17" ht="15" customHeight="1">
      <c r="A285" s="1166">
        <v>92666.66666666667</v>
      </c>
      <c r="B285" s="1172">
        <v>27800</v>
      </c>
      <c r="C285" s="1224">
        <v>0.4513266525856085</v>
      </c>
      <c r="D285" s="421">
        <v>11.46369691533921</v>
      </c>
      <c r="E285" s="1197">
        <v>0.2216716971945066</v>
      </c>
      <c r="F285" s="1205">
        <v>0.015586102661342114</v>
      </c>
      <c r="G285" s="1206">
        <f t="shared" si="43"/>
        <v>1528.3672236141388</v>
      </c>
      <c r="H285" s="1314">
        <f t="shared" si="44"/>
        <v>1.5283672236141388</v>
      </c>
      <c r="I285" s="1201">
        <v>15.283672236141387</v>
      </c>
      <c r="K285" s="1224">
        <f t="shared" si="36"/>
        <v>0.0945303673840557</v>
      </c>
      <c r="L285" s="1182">
        <f t="shared" si="37"/>
        <v>2.4010713189177975</v>
      </c>
      <c r="M285" s="1199">
        <f t="shared" si="38"/>
        <v>0.04642913697738941</v>
      </c>
      <c r="N285" s="1205">
        <f t="shared" si="39"/>
        <v>0.003264509202418106</v>
      </c>
      <c r="O285" s="1206">
        <f t="shared" si="40"/>
        <v>320.1165149859814</v>
      </c>
      <c r="P285" s="1314">
        <f t="shared" si="41"/>
        <v>0.32011651498598137</v>
      </c>
      <c r="Q285" s="1201">
        <f t="shared" si="42"/>
        <v>3.2011651498598135</v>
      </c>
    </row>
    <row r="286" spans="1:17" ht="15" customHeight="1">
      <c r="A286" s="1167">
        <v>93000</v>
      </c>
      <c r="B286" s="1172">
        <v>27900</v>
      </c>
      <c r="C286" s="1224">
        <v>0.444415993566393</v>
      </c>
      <c r="D286" s="421">
        <v>11.288166177174983</v>
      </c>
      <c r="E286" s="1197">
        <v>0.21827748702600464</v>
      </c>
      <c r="F286" s="1205">
        <v>0.01534745014588804</v>
      </c>
      <c r="G286" s="1206">
        <f t="shared" si="43"/>
        <v>1504.9650498713881</v>
      </c>
      <c r="H286" s="1314">
        <f t="shared" si="44"/>
        <v>1.5049650498713882</v>
      </c>
      <c r="I286" s="1201">
        <v>15.049650498713882</v>
      </c>
      <c r="K286" s="1224">
        <f t="shared" si="36"/>
        <v>0.09308292985248101</v>
      </c>
      <c r="L286" s="1182">
        <f t="shared" si="37"/>
        <v>2.3643064058093</v>
      </c>
      <c r="M286" s="1199">
        <f t="shared" si="38"/>
        <v>0.04571821965759667</v>
      </c>
      <c r="N286" s="1205">
        <f t="shared" si="39"/>
        <v>0.00321452343305625</v>
      </c>
      <c r="O286" s="1206">
        <f t="shared" si="40"/>
        <v>315.21492969556226</v>
      </c>
      <c r="P286" s="1314">
        <f t="shared" si="41"/>
        <v>0.31521492969556225</v>
      </c>
      <c r="Q286" s="1201">
        <f t="shared" si="42"/>
        <v>3.1521492969556224</v>
      </c>
    </row>
    <row r="287" spans="1:17" ht="15" customHeight="1">
      <c r="A287" s="1168">
        <v>93333.33333333334</v>
      </c>
      <c r="B287" s="1173">
        <v>28000</v>
      </c>
      <c r="C287" s="1225">
        <v>0.43761419821194336</v>
      </c>
      <c r="D287" s="427">
        <v>11.115400576081253</v>
      </c>
      <c r="E287" s="1198">
        <v>0.21493674587643433</v>
      </c>
      <c r="F287" s="1207">
        <v>0.01511255712534837</v>
      </c>
      <c r="G287" s="1208">
        <f t="shared" si="43"/>
        <v>1481.9315307518857</v>
      </c>
      <c r="H287" s="1315">
        <f t="shared" si="44"/>
        <v>1.4819315307518857</v>
      </c>
      <c r="I287" s="1202">
        <v>14.819315307518856</v>
      </c>
      <c r="K287" s="1225">
        <f t="shared" si="36"/>
        <v>0.09165829381549154</v>
      </c>
      <c r="L287" s="1184">
        <f t="shared" si="37"/>
        <v>2.3281206506602183</v>
      </c>
      <c r="M287" s="1198">
        <f t="shared" si="38"/>
        <v>0.04501850142381917</v>
      </c>
      <c r="N287" s="1207">
        <f t="shared" si="39"/>
        <v>0.003165325089904216</v>
      </c>
      <c r="O287" s="1208">
        <f t="shared" si="40"/>
        <v>310.39055911598246</v>
      </c>
      <c r="P287" s="1315">
        <f t="shared" si="41"/>
        <v>0.31039055911598246</v>
      </c>
      <c r="Q287" s="1202">
        <f t="shared" si="42"/>
        <v>3.1039055911598243</v>
      </c>
    </row>
    <row r="288" spans="1:17" ht="15" customHeight="1">
      <c r="A288" s="1165">
        <v>93666.66666666667</v>
      </c>
      <c r="B288" s="1174">
        <v>28100</v>
      </c>
      <c r="C288" s="1223">
        <v>0.4309195036122644</v>
      </c>
      <c r="D288" s="421">
        <v>10.945355334144383</v>
      </c>
      <c r="E288" s="1197">
        <v>0.2116486078823498</v>
      </c>
      <c r="F288" s="1205">
        <v>0.014881362719436042</v>
      </c>
      <c r="G288" s="1206">
        <f t="shared" si="43"/>
        <v>1459.260696358131</v>
      </c>
      <c r="H288" s="1314">
        <f t="shared" si="44"/>
        <v>1.4592606963581312</v>
      </c>
      <c r="I288" s="1200">
        <v>14.59260696358131</v>
      </c>
      <c r="K288" s="1226">
        <f t="shared" si="36"/>
        <v>0.09025609003158877</v>
      </c>
      <c r="L288" s="1182">
        <f t="shared" si="37"/>
        <v>2.292504674736541</v>
      </c>
      <c r="M288" s="1199">
        <f t="shared" si="38"/>
        <v>0.044329800920958166</v>
      </c>
      <c r="N288" s="1205">
        <f t="shared" si="39"/>
        <v>0.003116901421585879</v>
      </c>
      <c r="O288" s="1206">
        <f t="shared" si="40"/>
        <v>305.64215285221053</v>
      </c>
      <c r="P288" s="1314">
        <f t="shared" si="41"/>
        <v>0.3056421528522106</v>
      </c>
      <c r="Q288" s="1201">
        <f t="shared" si="42"/>
        <v>3.0564215285221055</v>
      </c>
    </row>
    <row r="289" spans="1:17" ht="15" customHeight="1">
      <c r="A289" s="1166">
        <v>94000</v>
      </c>
      <c r="B289" s="1172">
        <v>28200</v>
      </c>
      <c r="C289" s="1224">
        <v>0.4243301761817482</v>
      </c>
      <c r="D289" s="421">
        <v>10.77798641829016</v>
      </c>
      <c r="E289" s="1197">
        <v>0.2084122215831476</v>
      </c>
      <c r="F289" s="1205">
        <v>0.01465380706055161</v>
      </c>
      <c r="G289" s="1206">
        <f t="shared" si="43"/>
        <v>1436.9466760963824</v>
      </c>
      <c r="H289" s="1314">
        <f t="shared" si="44"/>
        <v>1.4369466760963823</v>
      </c>
      <c r="I289" s="1201">
        <v>14.369466760963823</v>
      </c>
      <c r="K289" s="1224">
        <f t="shared" si="36"/>
        <v>0.08887595540126715</v>
      </c>
      <c r="L289" s="1182">
        <f t="shared" si="37"/>
        <v>2.257449255310874</v>
      </c>
      <c r="M289" s="1199">
        <f t="shared" si="38"/>
        <v>0.04365193981059026</v>
      </c>
      <c r="N289" s="1205">
        <f t="shared" si="39"/>
        <v>0.0030692398888325346</v>
      </c>
      <c r="O289" s="1206">
        <f t="shared" si="40"/>
        <v>300.96848130838725</v>
      </c>
      <c r="P289" s="1314">
        <f t="shared" si="41"/>
        <v>0.30096848130838727</v>
      </c>
      <c r="Q289" s="1201">
        <f t="shared" si="42"/>
        <v>3.0096848130838727</v>
      </c>
    </row>
    <row r="290" spans="1:17" ht="15" customHeight="1">
      <c r="A290" s="1166">
        <v>94333.33333333334</v>
      </c>
      <c r="B290" s="1172">
        <v>28300</v>
      </c>
      <c r="C290" s="1224">
        <v>0.4178445111584865</v>
      </c>
      <c r="D290" s="421">
        <v>10.613250527566343</v>
      </c>
      <c r="E290" s="1197">
        <v>0.20522674967515128</v>
      </c>
      <c r="F290" s="1205">
        <v>0.014429831276492505</v>
      </c>
      <c r="G290" s="1206">
        <f t="shared" si="43"/>
        <v>1414.9836969811313</v>
      </c>
      <c r="H290" s="1314">
        <f t="shared" si="44"/>
        <v>1.4149836969811314</v>
      </c>
      <c r="I290" s="1201">
        <v>14.149836969811313</v>
      </c>
      <c r="K290" s="1224">
        <f t="shared" si="36"/>
        <v>0.08751753286214499</v>
      </c>
      <c r="L290" s="1182">
        <f t="shared" si="37"/>
        <v>2.2229453229987706</v>
      </c>
      <c r="M290" s="1199">
        <f t="shared" si="38"/>
        <v>0.042984742719460435</v>
      </c>
      <c r="N290" s="1205">
        <f t="shared" si="39"/>
        <v>0.003022328160861355</v>
      </c>
      <c r="O290" s="1206">
        <f t="shared" si="40"/>
        <v>296.36833533269794</v>
      </c>
      <c r="P290" s="1314">
        <f t="shared" si="41"/>
        <v>0.29636833533269796</v>
      </c>
      <c r="Q290" s="1201">
        <f t="shared" si="42"/>
        <v>2.9636833533269793</v>
      </c>
    </row>
    <row r="291" spans="1:17" ht="15" customHeight="1">
      <c r="A291" s="1167">
        <v>94666.66666666667</v>
      </c>
      <c r="B291" s="1172">
        <v>28400</v>
      </c>
      <c r="C291" s="1224">
        <v>0.41146083211235185</v>
      </c>
      <c r="D291" s="421">
        <v>10.451105080647922</v>
      </c>
      <c r="E291" s="1197">
        <v>0.20209136877000242</v>
      </c>
      <c r="F291" s="1205">
        <v>0.014209377473465129</v>
      </c>
      <c r="G291" s="1206">
        <f t="shared" si="43"/>
        <v>1393.3660819692773</v>
      </c>
      <c r="H291" s="1314">
        <f t="shared" si="44"/>
        <v>1.3933660819692772</v>
      </c>
      <c r="I291" s="1201">
        <v>13.933660819692772</v>
      </c>
      <c r="K291" s="1224">
        <f t="shared" si="36"/>
        <v>0.08618047128593209</v>
      </c>
      <c r="L291" s="1182">
        <f t="shared" si="37"/>
        <v>2.1889839591417073</v>
      </c>
      <c r="M291" s="1199">
        <f t="shared" si="38"/>
        <v>0.042328037188877</v>
      </c>
      <c r="N291" s="1205">
        <f t="shared" si="39"/>
        <v>0.002976154111817271</v>
      </c>
      <c r="O291" s="1206">
        <f t="shared" si="40"/>
        <v>291.84052586846514</v>
      </c>
      <c r="P291" s="1314">
        <f t="shared" si="41"/>
        <v>0.2918405258684651</v>
      </c>
      <c r="Q291" s="1201">
        <f t="shared" si="42"/>
        <v>2.918405258684651</v>
      </c>
    </row>
    <row r="292" spans="1:17" ht="15" customHeight="1">
      <c r="A292" s="1168">
        <v>95000</v>
      </c>
      <c r="B292" s="1173">
        <v>28500</v>
      </c>
      <c r="C292" s="1225">
        <v>0.405177490461696</v>
      </c>
      <c r="D292" s="427">
        <v>10.291508203561246</v>
      </c>
      <c r="E292" s="1198">
        <v>0.19900526915728428</v>
      </c>
      <c r="F292" s="1207">
        <v>0.013992388719394521</v>
      </c>
      <c r="G292" s="1208">
        <f t="shared" si="43"/>
        <v>1372.088248323478</v>
      </c>
      <c r="H292" s="1315">
        <f t="shared" si="44"/>
        <v>1.372088248323478</v>
      </c>
      <c r="I292" s="1202">
        <v>13.72088248323478</v>
      </c>
      <c r="K292" s="1225">
        <f t="shared" si="36"/>
        <v>0.08486442537720222</v>
      </c>
      <c r="L292" s="1184">
        <f t="shared" si="37"/>
        <v>2.155556393235903</v>
      </c>
      <c r="M292" s="1198">
        <f t="shared" si="38"/>
        <v>0.041681653624993195</v>
      </c>
      <c r="N292" s="1207">
        <f t="shared" si="39"/>
        <v>0.0029307058172771826</v>
      </c>
      <c r="O292" s="1208">
        <f t="shared" si="40"/>
        <v>287.3838836113525</v>
      </c>
      <c r="P292" s="1315">
        <f t="shared" si="41"/>
        <v>0.2873838836113525</v>
      </c>
      <c r="Q292" s="1202">
        <f t="shared" si="42"/>
        <v>2.8738388361135248</v>
      </c>
    </row>
    <row r="293" spans="1:17" ht="15" customHeight="1">
      <c r="A293" s="1165">
        <v>95333.33333333334</v>
      </c>
      <c r="B293" s="1174">
        <v>28600</v>
      </c>
      <c r="C293" s="1223">
        <v>0.39899286499850256</v>
      </c>
      <c r="D293" s="421">
        <v>10.13441871762292</v>
      </c>
      <c r="E293" s="1197">
        <v>0.19596765457129792</v>
      </c>
      <c r="F293" s="1205">
        <v>0.013778809027526005</v>
      </c>
      <c r="G293" s="1206">
        <f t="shared" si="43"/>
        <v>1351.1447060041346</v>
      </c>
      <c r="H293" s="1314">
        <f t="shared" si="44"/>
        <v>1.3511447060041346</v>
      </c>
      <c r="I293" s="1200">
        <v>13.511447060041347</v>
      </c>
      <c r="K293" s="1226">
        <f t="shared" si="36"/>
        <v>0.08356905557393636</v>
      </c>
      <c r="L293" s="1182">
        <f t="shared" si="37"/>
        <v>2.1226540004061203</v>
      </c>
      <c r="M293" s="1199">
        <f t="shared" si="38"/>
        <v>0.04104542524995835</v>
      </c>
      <c r="N293" s="1205">
        <f t="shared" si="39"/>
        <v>0.002885971550815322</v>
      </c>
      <c r="O293" s="1206">
        <f t="shared" si="40"/>
        <v>282.997258672566</v>
      </c>
      <c r="P293" s="1314">
        <f t="shared" si="41"/>
        <v>0.282997258672566</v>
      </c>
      <c r="Q293" s="1201">
        <f t="shared" si="42"/>
        <v>2.82997258672566</v>
      </c>
    </row>
    <row r="294" spans="1:17" ht="15" customHeight="1">
      <c r="A294" s="1166">
        <v>95666.66666666667</v>
      </c>
      <c r="B294" s="1172">
        <v>28700</v>
      </c>
      <c r="C294" s="1224">
        <v>0.3929053614218359</v>
      </c>
      <c r="D294" s="421">
        <v>9.97979612758939</v>
      </c>
      <c r="E294" s="1197">
        <v>0.19297774196191272</v>
      </c>
      <c r="F294" s="1205">
        <v>0.013568583340313313</v>
      </c>
      <c r="G294" s="1206">
        <f t="shared" si="43"/>
        <v>1330.530056089467</v>
      </c>
      <c r="H294" s="1314">
        <f t="shared" si="44"/>
        <v>1.330530056089467</v>
      </c>
      <c r="I294" s="1201">
        <v>13.30530056089467</v>
      </c>
      <c r="K294" s="1224">
        <f t="shared" si="36"/>
        <v>0.08229402794980353</v>
      </c>
      <c r="L294" s="1182">
        <f t="shared" si="37"/>
        <v>2.090268298923598</v>
      </c>
      <c r="M294" s="1199">
        <f t="shared" si="38"/>
        <v>0.04041918805392262</v>
      </c>
      <c r="N294" s="1205">
        <f t="shared" si="39"/>
        <v>0.0028419397806286233</v>
      </c>
      <c r="O294" s="1206">
        <f t="shared" si="40"/>
        <v>278.67952024793885</v>
      </c>
      <c r="P294" s="1314">
        <f t="shared" si="41"/>
        <v>0.27867952024793885</v>
      </c>
      <c r="Q294" s="1201">
        <f t="shared" si="42"/>
        <v>2.7867952024793885</v>
      </c>
    </row>
    <row r="295" spans="1:17" ht="15" customHeight="1">
      <c r="A295" s="1166">
        <v>96000</v>
      </c>
      <c r="B295" s="1172">
        <v>28800</v>
      </c>
      <c r="C295" s="1224">
        <v>0.38691341187946626</v>
      </c>
      <c r="D295" s="421">
        <v>9.82760061001423</v>
      </c>
      <c r="E295" s="1197">
        <v>0.19003476126943303</v>
      </c>
      <c r="F295" s="1205">
        <v>0.013361657513589085</v>
      </c>
      <c r="G295" s="1206">
        <f t="shared" si="43"/>
        <v>1310.2389892232788</v>
      </c>
      <c r="H295" s="1314">
        <f t="shared" si="44"/>
        <v>1.3102389892232789</v>
      </c>
      <c r="I295" s="1201">
        <v>13.102389892232788</v>
      </c>
      <c r="K295" s="1224">
        <f t="shared" si="36"/>
        <v>0.0810390141181542</v>
      </c>
      <c r="L295" s="1182">
        <f t="shared" si="37"/>
        <v>2.05839094776748</v>
      </c>
      <c r="M295" s="1199">
        <f t="shared" si="38"/>
        <v>0.039802780747882745</v>
      </c>
      <c r="N295" s="1205">
        <f t="shared" si="39"/>
        <v>0.002798599166221234</v>
      </c>
      <c r="O295" s="1206">
        <f t="shared" si="40"/>
        <v>274.42955629281573</v>
      </c>
      <c r="P295" s="1314">
        <f t="shared" si="41"/>
        <v>0.27442955629281574</v>
      </c>
      <c r="Q295" s="1201">
        <f t="shared" si="42"/>
        <v>2.7442955629281576</v>
      </c>
    </row>
    <row r="296" spans="1:17" ht="15" customHeight="1">
      <c r="A296" s="1167">
        <v>96333.33333333334</v>
      </c>
      <c r="B296" s="1172">
        <v>28900</v>
      </c>
      <c r="C296" s="1224">
        <v>0.38101547451748463</v>
      </c>
      <c r="D296" s="421">
        <v>9.677793001808357</v>
      </c>
      <c r="E296" s="1197">
        <v>0.18713795520338897</v>
      </c>
      <c r="F296" s="1205">
        <v>0.013157978301011286</v>
      </c>
      <c r="G296" s="1206">
        <f t="shared" si="43"/>
        <v>1290.2662840897788</v>
      </c>
      <c r="H296" s="1314">
        <f t="shared" si="44"/>
        <v>1.2902662840897787</v>
      </c>
      <c r="I296" s="1201">
        <v>12.902662840897788</v>
      </c>
      <c r="K296" s="1224">
        <f t="shared" si="36"/>
        <v>0.07980369113768715</v>
      </c>
      <c r="L296" s="1182">
        <f t="shared" si="37"/>
        <v>2.0270137442287606</v>
      </c>
      <c r="M296" s="1199">
        <f t="shared" si="38"/>
        <v>0.03919604471734982</v>
      </c>
      <c r="N296" s="1205">
        <f t="shared" si="39"/>
        <v>0.002755938555146814</v>
      </c>
      <c r="O296" s="1206">
        <f t="shared" si="40"/>
        <v>270.2462732026042</v>
      </c>
      <c r="P296" s="1314">
        <f t="shared" si="41"/>
        <v>0.27024627320260414</v>
      </c>
      <c r="Q296" s="1201">
        <f t="shared" si="42"/>
        <v>2.7024627320260417</v>
      </c>
    </row>
    <row r="297" spans="1:17" ht="15" customHeight="1">
      <c r="A297" s="1168">
        <v>96666.66666666667</v>
      </c>
      <c r="B297" s="1173">
        <v>29000</v>
      </c>
      <c r="C297" s="1225">
        <v>0.37521003303779366</v>
      </c>
      <c r="D297" s="427">
        <v>9.530334789000303</v>
      </c>
      <c r="E297" s="1198">
        <v>0.18428657902519532</v>
      </c>
      <c r="F297" s="1207">
        <v>0.012957493338781597</v>
      </c>
      <c r="G297" s="1208">
        <f t="shared" si="43"/>
        <v>1270.6068059150732</v>
      </c>
      <c r="H297" s="1315">
        <f t="shared" si="44"/>
        <v>1.2706068059150732</v>
      </c>
      <c r="I297" s="1202">
        <v>12.706068059150732</v>
      </c>
      <c r="K297" s="1225">
        <f t="shared" si="36"/>
        <v>0.07858774141976588</v>
      </c>
      <c r="L297" s="1184">
        <f t="shared" si="37"/>
        <v>1.9961286215561134</v>
      </c>
      <c r="M297" s="1198">
        <f t="shared" si="38"/>
        <v>0.03859882397682716</v>
      </c>
      <c r="N297" s="1207">
        <f t="shared" si="39"/>
        <v>0.0027139469798078053</v>
      </c>
      <c r="O297" s="1208">
        <f t="shared" si="40"/>
        <v>266.1285954989121</v>
      </c>
      <c r="P297" s="1315">
        <f t="shared" si="41"/>
        <v>0.2661285954989121</v>
      </c>
      <c r="Q297" s="1202">
        <f t="shared" si="42"/>
        <v>2.661285954989121</v>
      </c>
    </row>
    <row r="298" spans="1:17" ht="15" customHeight="1">
      <c r="A298" s="1165">
        <v>97000</v>
      </c>
      <c r="B298" s="1174">
        <v>29100</v>
      </c>
      <c r="C298" s="1223">
        <v>0.36949559626332396</v>
      </c>
      <c r="D298" s="421">
        <v>9.385188095692703</v>
      </c>
      <c r="E298" s="1197">
        <v>0.18147990033460518</v>
      </c>
      <c r="F298" s="1205">
        <v>0.012760151130630618</v>
      </c>
      <c r="G298" s="1206">
        <f t="shared" si="43"/>
        <v>1251.2555049948198</v>
      </c>
      <c r="H298" s="1314">
        <f t="shared" si="44"/>
        <v>1.2512555049948197</v>
      </c>
      <c r="I298" s="1200">
        <v>12.512555049948197</v>
      </c>
      <c r="K298" s="1226">
        <f t="shared" si="36"/>
        <v>0.07739085263735321</v>
      </c>
      <c r="L298" s="1182">
        <f t="shared" si="37"/>
        <v>1.9657276466428366</v>
      </c>
      <c r="M298" s="1199">
        <f t="shared" si="38"/>
        <v>0.038010965125083056</v>
      </c>
      <c r="N298" s="1205">
        <f t="shared" si="39"/>
        <v>0.002672613654310583</v>
      </c>
      <c r="O298" s="1206">
        <f t="shared" si="40"/>
        <v>262.07546552116503</v>
      </c>
      <c r="P298" s="1314">
        <f t="shared" si="41"/>
        <v>0.262075465521165</v>
      </c>
      <c r="Q298" s="1201">
        <f t="shared" si="42"/>
        <v>2.62075465521165</v>
      </c>
    </row>
    <row r="299" spans="1:17" ht="15" customHeight="1">
      <c r="A299" s="1166">
        <v>97333.33333333334</v>
      </c>
      <c r="B299" s="1172">
        <v>29200</v>
      </c>
      <c r="C299" s="1224">
        <v>0.3638706977108422</v>
      </c>
      <c r="D299" s="421">
        <v>9.242315673211625</v>
      </c>
      <c r="E299" s="1197">
        <v>0.17871719885989215</v>
      </c>
      <c r="F299" s="1205">
        <v>0.012565901033065228</v>
      </c>
      <c r="G299" s="1206">
        <f t="shared" si="43"/>
        <v>1232.2074152475893</v>
      </c>
      <c r="H299" s="1314">
        <f t="shared" si="44"/>
        <v>1.2322074152475893</v>
      </c>
      <c r="I299" s="1201">
        <v>12.322074152475894</v>
      </c>
      <c r="K299" s="1224">
        <f t="shared" si="36"/>
        <v>0.0762127176355359</v>
      </c>
      <c r="L299" s="1182">
        <f t="shared" si="37"/>
        <v>1.9358030177541747</v>
      </c>
      <c r="M299" s="1199">
        <f t="shared" si="38"/>
        <v>0.03743231730120441</v>
      </c>
      <c r="N299" s="1205">
        <f t="shared" si="39"/>
        <v>0.002631927971375512</v>
      </c>
      <c r="O299" s="1206">
        <f t="shared" si="40"/>
        <v>258.08584312360756</v>
      </c>
      <c r="P299" s="1314">
        <f t="shared" si="41"/>
        <v>0.25808584312360755</v>
      </c>
      <c r="Q299" s="1201">
        <f t="shared" si="42"/>
        <v>2.580858431236076</v>
      </c>
    </row>
    <row r="300" spans="1:17" ht="15" customHeight="1">
      <c r="A300" s="1166">
        <v>97666.66666666667</v>
      </c>
      <c r="B300" s="1172">
        <v>29300</v>
      </c>
      <c r="C300" s="1224">
        <v>0.35833389517119546</v>
      </c>
      <c r="D300" s="421">
        <v>9.101680889444781</v>
      </c>
      <c r="E300" s="1197">
        <v>0.17599776625168487</v>
      </c>
      <c r="F300" s="1205">
        <v>0.012374693240872755</v>
      </c>
      <c r="G300" s="1206">
        <f t="shared" si="43"/>
        <v>1213.4576527934112</v>
      </c>
      <c r="H300" s="1314">
        <f t="shared" si="44"/>
        <v>1.2134576527934111</v>
      </c>
      <c r="I300" s="1201">
        <v>12.134576527934112</v>
      </c>
      <c r="K300" s="1224">
        <f t="shared" si="36"/>
        <v>0.07505303434360688</v>
      </c>
      <c r="L300" s="1182">
        <f t="shared" si="37"/>
        <v>1.9063470622942094</v>
      </c>
      <c r="M300" s="1199">
        <f t="shared" si="38"/>
        <v>0.036862732141415396</v>
      </c>
      <c r="N300" s="1205">
        <f t="shared" si="39"/>
        <v>0.0025918794993007987</v>
      </c>
      <c r="O300" s="1206">
        <f t="shared" si="40"/>
        <v>254.15870537757996</v>
      </c>
      <c r="P300" s="1314">
        <f t="shared" si="41"/>
        <v>0.25415870537757995</v>
      </c>
      <c r="Q300" s="1201">
        <f t="shared" si="42"/>
        <v>2.5415870537757996</v>
      </c>
    </row>
    <row r="301" spans="1:17" ht="15" customHeight="1">
      <c r="A301" s="1167">
        <v>98000</v>
      </c>
      <c r="B301" s="1172">
        <v>29400</v>
      </c>
      <c r="C301" s="1224">
        <v>0.3528837702968931</v>
      </c>
      <c r="D301" s="421">
        <v>8.963247718366098</v>
      </c>
      <c r="E301" s="1197">
        <v>0.17332090588040547</v>
      </c>
      <c r="F301" s="1205">
        <v>0.012186478772878538</v>
      </c>
      <c r="G301" s="1206">
        <f t="shared" si="43"/>
        <v>1195.0014145571643</v>
      </c>
      <c r="H301" s="1314">
        <f t="shared" si="44"/>
        <v>1.1950014145571644</v>
      </c>
      <c r="I301" s="1201">
        <v>11.950014145571643</v>
      </c>
      <c r="K301" s="1224">
        <f t="shared" si="36"/>
        <v>0.07391150568868426</v>
      </c>
      <c r="L301" s="1182">
        <f t="shared" si="37"/>
        <v>1.8773522346117792</v>
      </c>
      <c r="M301" s="1199">
        <f t="shared" si="38"/>
        <v>0.03630206373665092</v>
      </c>
      <c r="N301" s="1205">
        <f t="shared" si="39"/>
        <v>0.00255245797897941</v>
      </c>
      <c r="O301" s="1206">
        <f t="shared" si="40"/>
        <v>250.29304627899805</v>
      </c>
      <c r="P301" s="1314">
        <f t="shared" si="41"/>
        <v>0.25029304627899807</v>
      </c>
      <c r="Q301" s="1201">
        <f t="shared" si="42"/>
        <v>2.5029304627899807</v>
      </c>
    </row>
    <row r="302" spans="1:17" ht="15" customHeight="1">
      <c r="A302" s="1168">
        <v>98333.33333333334</v>
      </c>
      <c r="B302" s="1173">
        <v>29500</v>
      </c>
      <c r="C302" s="1225">
        <v>0.34751892819686886</v>
      </c>
      <c r="D302" s="427">
        <v>8.826980729742676</v>
      </c>
      <c r="E302" s="1198">
        <v>0.1706859326372347</v>
      </c>
      <c r="F302" s="1207">
        <v>0.012001209457951459</v>
      </c>
      <c r="G302" s="1208">
        <f t="shared" si="43"/>
        <v>1176.833976896285</v>
      </c>
      <c r="H302" s="1315">
        <f t="shared" si="44"/>
        <v>1.176833976896285</v>
      </c>
      <c r="I302" s="1202">
        <v>11.768339768962852</v>
      </c>
      <c r="K302" s="1225">
        <f t="shared" si="36"/>
        <v>0.07278783951083419</v>
      </c>
      <c r="L302" s="1184">
        <f t="shared" si="37"/>
        <v>1.8488111138446035</v>
      </c>
      <c r="M302" s="1198">
        <f t="shared" si="38"/>
        <v>0.035750168590868804</v>
      </c>
      <c r="N302" s="1207">
        <f t="shared" si="39"/>
        <v>0.002513653320967933</v>
      </c>
      <c r="O302" s="1208">
        <f t="shared" si="40"/>
        <v>246.4878764609269</v>
      </c>
      <c r="P302" s="1315">
        <f t="shared" si="41"/>
        <v>0.2464878764609269</v>
      </c>
      <c r="Q302" s="1202">
        <f t="shared" si="42"/>
        <v>2.4648787646092694</v>
      </c>
    </row>
    <row r="303" spans="1:17" ht="15" customHeight="1">
      <c r="A303" s="1165">
        <v>98666.66666666667</v>
      </c>
      <c r="B303" s="1174">
        <v>29600</v>
      </c>
      <c r="C303" s="1223">
        <v>0.3422379970382896</v>
      </c>
      <c r="D303" s="421">
        <v>8.69284507902074</v>
      </c>
      <c r="E303" s="1197">
        <v>0.16809217273853788</v>
      </c>
      <c r="F303" s="1205">
        <v>0.011818837921252805</v>
      </c>
      <c r="G303" s="1206">
        <f t="shared" si="43"/>
        <v>1158.9506942523376</v>
      </c>
      <c r="H303" s="1314">
        <f t="shared" si="44"/>
        <v>1.1589506942523375</v>
      </c>
      <c r="I303" s="1200">
        <v>11.589506942523375</v>
      </c>
      <c r="K303" s="1226">
        <f t="shared" si="36"/>
        <v>0.07168174847966975</v>
      </c>
      <c r="L303" s="1182">
        <f t="shared" si="37"/>
        <v>1.8207164018008941</v>
      </c>
      <c r="M303" s="1199">
        <f t="shared" si="38"/>
        <v>0.03520690558008676</v>
      </c>
      <c r="N303" s="1205">
        <f t="shared" si="39"/>
        <v>0.0024754556026064</v>
      </c>
      <c r="O303" s="1206">
        <f t="shared" si="40"/>
        <v>242.7422229111521</v>
      </c>
      <c r="P303" s="1314">
        <f t="shared" si="41"/>
        <v>0.2427422229111521</v>
      </c>
      <c r="Q303" s="1201">
        <f t="shared" si="42"/>
        <v>2.427422229111521</v>
      </c>
    </row>
    <row r="304" spans="1:17" ht="15" customHeight="1">
      <c r="A304" s="1166">
        <v>99000</v>
      </c>
      <c r="B304" s="1172">
        <v>29700</v>
      </c>
      <c r="C304" s="1224">
        <v>0.3370396276553228</v>
      </c>
      <c r="D304" s="421">
        <v>8.560806497388324</v>
      </c>
      <c r="E304" s="1197">
        <v>0.16553896353370895</v>
      </c>
      <c r="F304" s="1205">
        <v>0.011639317570725468</v>
      </c>
      <c r="G304" s="1206">
        <f t="shared" si="43"/>
        <v>1141.3469978261473</v>
      </c>
      <c r="H304" s="1314">
        <f t="shared" si="44"/>
        <v>1.1413469978261472</v>
      </c>
      <c r="I304" s="1201">
        <v>11.413469978261473</v>
      </c>
      <c r="K304" s="1224">
        <f t="shared" si="36"/>
        <v>0.07059295001240735</v>
      </c>
      <c r="L304" s="1182">
        <f t="shared" si="37"/>
        <v>1.7930609208779844</v>
      </c>
      <c r="M304" s="1199">
        <f t="shared" si="38"/>
        <v>0.03467213591213534</v>
      </c>
      <c r="N304" s="1205">
        <f t="shared" si="39"/>
        <v>0.0024378550651884493</v>
      </c>
      <c r="O304" s="1206">
        <f t="shared" si="40"/>
        <v>239.05512869468654</v>
      </c>
      <c r="P304" s="1314">
        <f t="shared" si="41"/>
        <v>0.23905512869468654</v>
      </c>
      <c r="Q304" s="1201">
        <f t="shared" si="42"/>
        <v>2.3905512869468653</v>
      </c>
    </row>
    <row r="305" spans="1:17" ht="15" customHeight="1">
      <c r="A305" s="1166">
        <v>99333.33333333334</v>
      </c>
      <c r="B305" s="1172">
        <v>29800</v>
      </c>
      <c r="C305" s="1224">
        <v>0.33192249316469363</v>
      </c>
      <c r="D305" s="421">
        <v>8.430831282010423</v>
      </c>
      <c r="E305" s="1197">
        <v>0.16302565331634888</v>
      </c>
      <c r="F305" s="1205">
        <v>0.011462602583817592</v>
      </c>
      <c r="G305" s="1206">
        <f t="shared" si="43"/>
        <v>1124.018394275929</v>
      </c>
      <c r="H305" s="1314">
        <f t="shared" si="44"/>
        <v>1.124018394275929</v>
      </c>
      <c r="I305" s="1201">
        <v>11.240183942759291</v>
      </c>
      <c r="K305" s="1224">
        <f t="shared" si="36"/>
        <v>0.06952116619334509</v>
      </c>
      <c r="L305" s="1182">
        <f t="shared" si="37"/>
        <v>1.7658376120170831</v>
      </c>
      <c r="M305" s="1199">
        <f t="shared" si="38"/>
        <v>0.034145723087109274</v>
      </c>
      <c r="N305" s="1205">
        <f t="shared" si="39"/>
        <v>0.0024008421111805945</v>
      </c>
      <c r="O305" s="1206">
        <f t="shared" si="40"/>
        <v>235.42565268109334</v>
      </c>
      <c r="P305" s="1314">
        <f t="shared" si="41"/>
        <v>0.23542565268109333</v>
      </c>
      <c r="Q305" s="1201">
        <f t="shared" si="42"/>
        <v>2.3542565268109334</v>
      </c>
    </row>
    <row r="306" spans="1:17" ht="15" customHeight="1">
      <c r="A306" s="1167">
        <v>99666.66666666667</v>
      </c>
      <c r="B306" s="1172">
        <v>29900</v>
      </c>
      <c r="C306" s="1224">
        <v>0.32688528858793214</v>
      </c>
      <c r="D306" s="421">
        <v>8.302886286434076</v>
      </c>
      <c r="E306" s="1197">
        <v>0.1605516011387305</v>
      </c>
      <c r="F306" s="1205">
        <v>0.011288647894437278</v>
      </c>
      <c r="G306" s="1206">
        <f t="shared" si="43"/>
        <v>1106.9604644380693</v>
      </c>
      <c r="H306" s="1314">
        <f t="shared" si="44"/>
        <v>1.1069604644380693</v>
      </c>
      <c r="I306" s="1201">
        <v>11.069604644380693</v>
      </c>
      <c r="K306" s="1224">
        <f t="shared" si="36"/>
        <v>0.06846612369474239</v>
      </c>
      <c r="L306" s="1182">
        <f t="shared" si="37"/>
        <v>1.739039532693617</v>
      </c>
      <c r="M306" s="1199">
        <f t="shared" si="38"/>
        <v>0.0336275328585071</v>
      </c>
      <c r="N306" s="1205">
        <f t="shared" si="39"/>
        <v>0.002364407301489888</v>
      </c>
      <c r="O306" s="1206">
        <f t="shared" si="40"/>
        <v>231.8528692765536</v>
      </c>
      <c r="P306" s="1314">
        <f t="shared" si="41"/>
        <v>0.2318528692765536</v>
      </c>
      <c r="Q306" s="1201">
        <f t="shared" si="42"/>
        <v>2.318528692765536</v>
      </c>
    </row>
    <row r="307" spans="1:17" ht="15" customHeight="1">
      <c r="A307" s="1168">
        <v>100000</v>
      </c>
      <c r="B307" s="1173">
        <v>30000</v>
      </c>
      <c r="C307" s="1225">
        <v>0.32192673048019915</v>
      </c>
      <c r="D307" s="427">
        <v>8.176938911160539</v>
      </c>
      <c r="E307" s="1198">
        <v>0.15811617662949376</v>
      </c>
      <c r="F307" s="1207">
        <v>0.011117409180134454</v>
      </c>
      <c r="G307" s="1208">
        <f t="shared" si="43"/>
        <v>1090.1688620701864</v>
      </c>
      <c r="H307" s="1315">
        <f t="shared" si="44"/>
        <v>1.0901688620701864</v>
      </c>
      <c r="I307" s="1202">
        <v>10.901688620701863</v>
      </c>
      <c r="K307" s="1225">
        <f t="shared" si="36"/>
        <v>0.06742755369907771</v>
      </c>
      <c r="L307" s="1184">
        <f t="shared" si="37"/>
        <v>1.7126598549425749</v>
      </c>
      <c r="M307" s="1198">
        <f t="shared" si="38"/>
        <v>0.033117433195047466</v>
      </c>
      <c r="N307" s="1207">
        <f t="shared" si="39"/>
        <v>0.0023285413527791613</v>
      </c>
      <c r="O307" s="1208">
        <f t="shared" si="40"/>
        <v>228.33586816060054</v>
      </c>
      <c r="P307" s="1315">
        <f t="shared" si="41"/>
        <v>0.22833586816060053</v>
      </c>
      <c r="Q307" s="1202">
        <f t="shared" si="42"/>
        <v>2.283358681606005</v>
      </c>
    </row>
    <row r="308" spans="1:17" ht="15" customHeight="1">
      <c r="A308" s="439"/>
      <c r="B308" s="440"/>
      <c r="C308" s="439"/>
      <c r="D308" s="441"/>
      <c r="E308" s="433"/>
      <c r="F308" s="1181"/>
      <c r="G308" s="1185"/>
      <c r="H308" s="1186"/>
      <c r="I308" s="1188"/>
      <c r="K308" s="138"/>
      <c r="L308" s="139"/>
      <c r="M308" s="138"/>
      <c r="N308" s="1189"/>
      <c r="O308" s="1190"/>
      <c r="P308" s="1189"/>
      <c r="Q308" s="422"/>
    </row>
    <row r="309" spans="1:17" ht="15" customHeight="1">
      <c r="A309" s="439"/>
      <c r="B309" s="440"/>
      <c r="C309" s="439"/>
      <c r="D309" s="441"/>
      <c r="E309" s="433"/>
      <c r="F309" s="1181"/>
      <c r="G309" s="1185"/>
      <c r="H309" s="1186"/>
      <c r="I309" s="422"/>
      <c r="K309" s="138"/>
      <c r="L309" s="139"/>
      <c r="M309" s="138"/>
      <c r="N309" s="1189"/>
      <c r="O309" s="1190"/>
      <c r="P309" s="1189"/>
      <c r="Q309" s="422"/>
    </row>
    <row r="310" ht="15" customHeight="1">
      <c r="E310" s="433"/>
    </row>
    <row r="311" spans="3:6" ht="15" customHeight="1">
      <c r="C311" s="232"/>
      <c r="D311" s="232"/>
      <c r="E311" s="232"/>
      <c r="F311" s="1179"/>
    </row>
    <row r="312" spans="3:6" ht="15" customHeight="1">
      <c r="C312" s="232"/>
      <c r="D312" s="232"/>
      <c r="E312" s="232"/>
      <c r="F312" s="1179"/>
    </row>
    <row r="313" spans="3:6" ht="15" customHeight="1">
      <c r="C313" s="232"/>
      <c r="D313" s="232"/>
      <c r="E313" s="232"/>
      <c r="F313" s="1179"/>
    </row>
    <row r="314" spans="3:6" ht="15" customHeight="1">
      <c r="C314" s="232"/>
      <c r="D314" s="232"/>
      <c r="E314" s="232"/>
      <c r="F314" s="1179"/>
    </row>
    <row r="315" spans="3:6" ht="15" customHeight="1">
      <c r="C315" s="232"/>
      <c r="D315" s="232"/>
      <c r="E315" s="232"/>
      <c r="F315" s="1179"/>
    </row>
    <row r="316" spans="3:6" ht="15" customHeight="1">
      <c r="C316" s="232"/>
      <c r="D316" s="232"/>
      <c r="E316" s="232"/>
      <c r="F316" s="1179"/>
    </row>
    <row r="317" spans="3:6" ht="15" customHeight="1">
      <c r="C317" s="232"/>
      <c r="D317" s="232"/>
      <c r="E317" s="232"/>
      <c r="F317" s="1179"/>
    </row>
    <row r="318" spans="3:6" ht="15" customHeight="1">
      <c r="C318" s="232"/>
      <c r="D318" s="232"/>
      <c r="E318" s="232"/>
      <c r="F318" s="1179"/>
    </row>
    <row r="319" spans="3:6" ht="15" customHeight="1">
      <c r="C319" s="232"/>
      <c r="D319" s="232"/>
      <c r="E319" s="232"/>
      <c r="F319" s="1179"/>
    </row>
    <row r="320" spans="3:6" ht="15" customHeight="1">
      <c r="C320" s="232"/>
      <c r="D320" s="232"/>
      <c r="E320" s="232"/>
      <c r="F320" s="1179"/>
    </row>
    <row r="321" spans="3:6" ht="15" customHeight="1">
      <c r="C321" s="232"/>
      <c r="D321" s="232"/>
      <c r="E321" s="232"/>
      <c r="F321" s="1179"/>
    </row>
    <row r="322" spans="3:6" ht="15" customHeight="1">
      <c r="C322" s="232"/>
      <c r="D322" s="232"/>
      <c r="E322" s="232"/>
      <c r="F322" s="1179"/>
    </row>
    <row r="323" spans="3:6" ht="15" customHeight="1">
      <c r="C323" s="232"/>
      <c r="D323" s="232"/>
      <c r="E323" s="232"/>
      <c r="F323" s="1179"/>
    </row>
    <row r="324" spans="3:6" ht="15" customHeight="1">
      <c r="C324" s="232"/>
      <c r="D324" s="232"/>
      <c r="E324" s="232"/>
      <c r="F324" s="1179"/>
    </row>
    <row r="325" spans="3:6" ht="15" customHeight="1">
      <c r="C325" s="232"/>
      <c r="D325" s="232"/>
      <c r="E325" s="232"/>
      <c r="F325" s="1179"/>
    </row>
    <row r="326" spans="3:6" ht="15" customHeight="1">
      <c r="C326" s="232"/>
      <c r="D326" s="232"/>
      <c r="E326" s="232"/>
      <c r="F326" s="1179"/>
    </row>
    <row r="327" spans="3:6" ht="15" customHeight="1">
      <c r="C327" s="232"/>
      <c r="D327" s="232"/>
      <c r="E327" s="232"/>
      <c r="F327" s="1179"/>
    </row>
    <row r="328" spans="3:6" ht="15" customHeight="1">
      <c r="C328" s="232"/>
      <c r="D328" s="232"/>
      <c r="E328" s="232"/>
      <c r="F328" s="1179"/>
    </row>
    <row r="329" spans="3:6" ht="15" customHeight="1">
      <c r="C329" s="232"/>
      <c r="D329" s="232"/>
      <c r="E329" s="232"/>
      <c r="F329" s="1179"/>
    </row>
    <row r="330" spans="3:6" ht="15" customHeight="1">
      <c r="C330" s="232"/>
      <c r="D330" s="232"/>
      <c r="E330" s="232"/>
      <c r="F330" s="1179"/>
    </row>
    <row r="331" spans="3:6" ht="15" customHeight="1">
      <c r="C331" s="232"/>
      <c r="D331" s="232"/>
      <c r="E331" s="232"/>
      <c r="F331" s="1179"/>
    </row>
    <row r="332" spans="3:6" ht="15" customHeight="1">
      <c r="C332" s="232"/>
      <c r="D332" s="232"/>
      <c r="E332" s="232"/>
      <c r="F332" s="1179"/>
    </row>
    <row r="333" spans="3:6" ht="15" customHeight="1">
      <c r="C333" s="232"/>
      <c r="D333" s="232"/>
      <c r="E333" s="232"/>
      <c r="F333" s="1179"/>
    </row>
    <row r="334" spans="3:6" ht="15" customHeight="1">
      <c r="C334" s="232"/>
      <c r="D334" s="232"/>
      <c r="E334" s="232"/>
      <c r="F334" s="1179"/>
    </row>
    <row r="335" spans="3:6" ht="15" customHeight="1">
      <c r="C335" s="232"/>
      <c r="D335" s="232"/>
      <c r="E335" s="232"/>
      <c r="F335" s="1179"/>
    </row>
    <row r="336" spans="3:6" ht="15" customHeight="1">
      <c r="C336" s="232"/>
      <c r="D336" s="232"/>
      <c r="E336" s="232"/>
      <c r="F336" s="1179"/>
    </row>
    <row r="337" spans="3:6" ht="15" customHeight="1">
      <c r="C337" s="232"/>
      <c r="D337" s="232"/>
      <c r="E337" s="232"/>
      <c r="F337" s="1179"/>
    </row>
    <row r="338" spans="3:6" ht="15" customHeight="1">
      <c r="C338" s="232"/>
      <c r="D338" s="232"/>
      <c r="E338" s="232"/>
      <c r="F338" s="1179"/>
    </row>
    <row r="339" spans="3:6" ht="15" customHeight="1">
      <c r="C339" s="232"/>
      <c r="D339" s="232"/>
      <c r="E339" s="232"/>
      <c r="F339" s="1179"/>
    </row>
    <row r="340" spans="3:6" ht="15" customHeight="1">
      <c r="C340" s="232"/>
      <c r="D340" s="232"/>
      <c r="E340" s="232"/>
      <c r="F340" s="1179"/>
    </row>
    <row r="341" spans="3:6" ht="15" customHeight="1">
      <c r="C341" s="232"/>
      <c r="D341" s="232"/>
      <c r="E341" s="232"/>
      <c r="F341" s="1179"/>
    </row>
    <row r="342" spans="3:6" ht="15" customHeight="1">
      <c r="C342" s="232"/>
      <c r="D342" s="232"/>
      <c r="E342" s="232"/>
      <c r="F342" s="1179"/>
    </row>
    <row r="343" spans="3:6" ht="15" customHeight="1">
      <c r="C343" s="232"/>
      <c r="D343" s="232"/>
      <c r="E343" s="232"/>
      <c r="F343" s="1179"/>
    </row>
    <row r="344" spans="3:6" ht="15" customHeight="1">
      <c r="C344" s="232"/>
      <c r="D344" s="232"/>
      <c r="E344" s="232"/>
      <c r="F344" s="1179"/>
    </row>
    <row r="345" spans="3:6" ht="15" customHeight="1">
      <c r="C345" s="232"/>
      <c r="D345" s="232"/>
      <c r="E345" s="232"/>
      <c r="F345" s="1179"/>
    </row>
    <row r="346" spans="3:6" ht="15" customHeight="1">
      <c r="C346" s="232"/>
      <c r="D346" s="232"/>
      <c r="E346" s="232"/>
      <c r="F346" s="1179"/>
    </row>
    <row r="347" spans="3:6" ht="15" customHeight="1">
      <c r="C347" s="232"/>
      <c r="D347" s="232"/>
      <c r="E347" s="232"/>
      <c r="F347" s="1179"/>
    </row>
    <row r="348" spans="3:6" ht="15" customHeight="1">
      <c r="C348" s="232"/>
      <c r="D348" s="232"/>
      <c r="E348" s="232"/>
      <c r="F348" s="1179"/>
    </row>
    <row r="349" spans="3:6" ht="15" customHeight="1">
      <c r="C349" s="232"/>
      <c r="D349" s="232"/>
      <c r="E349" s="232"/>
      <c r="F349" s="1179"/>
    </row>
    <row r="350" spans="3:6" ht="15" customHeight="1">
      <c r="C350" s="232"/>
      <c r="D350" s="232"/>
      <c r="E350" s="232"/>
      <c r="F350" s="1179"/>
    </row>
    <row r="351" spans="3:6" ht="15" customHeight="1">
      <c r="C351" s="232"/>
      <c r="D351" s="232"/>
      <c r="E351" s="232"/>
      <c r="F351" s="1179"/>
    </row>
    <row r="352" spans="3:6" ht="15" customHeight="1">
      <c r="C352" s="232"/>
      <c r="D352" s="232"/>
      <c r="E352" s="232"/>
      <c r="F352" s="1179"/>
    </row>
    <row r="353" spans="3:6" ht="15" customHeight="1">
      <c r="C353" s="232"/>
      <c r="D353" s="232"/>
      <c r="E353" s="232"/>
      <c r="F353" s="1179"/>
    </row>
    <row r="354" spans="3:6" ht="15" customHeight="1">
      <c r="C354" s="232"/>
      <c r="D354" s="232"/>
      <c r="E354" s="232"/>
      <c r="F354" s="1179"/>
    </row>
    <row r="355" spans="3:6" ht="15" customHeight="1">
      <c r="C355" s="232"/>
      <c r="D355" s="232"/>
      <c r="E355" s="232"/>
      <c r="F355" s="1179"/>
    </row>
    <row r="356" spans="3:6" ht="15" customHeight="1">
      <c r="C356" s="232"/>
      <c r="D356" s="232"/>
      <c r="E356" s="232"/>
      <c r="F356" s="1179"/>
    </row>
    <row r="357" spans="3:6" ht="15" customHeight="1">
      <c r="C357" s="232"/>
      <c r="D357" s="232"/>
      <c r="E357" s="232"/>
      <c r="F357" s="1179"/>
    </row>
    <row r="358" spans="3:6" ht="15" customHeight="1">
      <c r="C358" s="232"/>
      <c r="D358" s="232"/>
      <c r="E358" s="232"/>
      <c r="F358" s="1179"/>
    </row>
    <row r="359" spans="3:6" ht="15" customHeight="1">
      <c r="C359" s="232"/>
      <c r="D359" s="232"/>
      <c r="E359" s="232"/>
      <c r="F359" s="1179"/>
    </row>
    <row r="360" spans="3:6" ht="15" customHeight="1">
      <c r="C360" s="232"/>
      <c r="D360" s="232"/>
      <c r="E360" s="232"/>
      <c r="F360" s="1179"/>
    </row>
    <row r="361" spans="3:6" ht="15" customHeight="1">
      <c r="C361" s="232"/>
      <c r="D361" s="232"/>
      <c r="E361" s="232"/>
      <c r="F361" s="1179"/>
    </row>
    <row r="362" spans="3:6" ht="15" customHeight="1">
      <c r="C362" s="232"/>
      <c r="D362" s="232"/>
      <c r="E362" s="232"/>
      <c r="F362" s="1179"/>
    </row>
    <row r="363" spans="3:6" ht="15" customHeight="1">
      <c r="C363" s="232"/>
      <c r="D363" s="232"/>
      <c r="E363" s="232"/>
      <c r="F363" s="1179"/>
    </row>
    <row r="364" spans="3:6" ht="15" customHeight="1">
      <c r="C364" s="232"/>
      <c r="D364" s="232"/>
      <c r="E364" s="232"/>
      <c r="F364" s="1179"/>
    </row>
    <row r="365" spans="3:6" ht="15" customHeight="1">
      <c r="C365" s="232"/>
      <c r="D365" s="232"/>
      <c r="E365" s="232"/>
      <c r="F365" s="1179"/>
    </row>
    <row r="366" spans="3:6" ht="15" customHeight="1">
      <c r="C366" s="232"/>
      <c r="D366" s="232"/>
      <c r="E366" s="232"/>
      <c r="F366" s="1179"/>
    </row>
    <row r="367" spans="3:6" ht="15" customHeight="1">
      <c r="C367" s="232"/>
      <c r="D367" s="232"/>
      <c r="E367" s="232"/>
      <c r="F367" s="1179"/>
    </row>
    <row r="368" spans="3:6" ht="15" customHeight="1">
      <c r="C368" s="232"/>
      <c r="D368" s="232"/>
      <c r="E368" s="232"/>
      <c r="F368" s="1179"/>
    </row>
    <row r="369" spans="3:6" ht="15" customHeight="1">
      <c r="C369" s="232"/>
      <c r="D369" s="232"/>
      <c r="E369" s="232"/>
      <c r="F369" s="1179"/>
    </row>
    <row r="370" spans="3:6" ht="15" customHeight="1">
      <c r="C370" s="232"/>
      <c r="D370" s="232"/>
      <c r="E370" s="232"/>
      <c r="F370" s="1179"/>
    </row>
    <row r="371" spans="3:6" ht="15" customHeight="1">
      <c r="C371" s="232"/>
      <c r="D371" s="232"/>
      <c r="E371" s="232"/>
      <c r="F371" s="1179"/>
    </row>
    <row r="372" spans="3:6" ht="15" customHeight="1">
      <c r="C372" s="232"/>
      <c r="D372" s="232"/>
      <c r="E372" s="232"/>
      <c r="F372" s="1179"/>
    </row>
    <row r="373" spans="3:6" ht="15" customHeight="1">
      <c r="C373" s="232"/>
      <c r="D373" s="232"/>
      <c r="E373" s="232"/>
      <c r="F373" s="1179"/>
    </row>
    <row r="374" spans="3:6" ht="15" customHeight="1">
      <c r="C374" s="232"/>
      <c r="D374" s="232"/>
      <c r="E374" s="232"/>
      <c r="F374" s="1179"/>
    </row>
    <row r="375" spans="3:6" ht="15" customHeight="1">
      <c r="C375" s="232"/>
      <c r="D375" s="232"/>
      <c r="E375" s="232"/>
      <c r="F375" s="1179"/>
    </row>
    <row r="376" spans="3:6" ht="15" customHeight="1">
      <c r="C376" s="232"/>
      <c r="D376" s="232"/>
      <c r="E376" s="232"/>
      <c r="F376" s="1179"/>
    </row>
    <row r="377" spans="3:6" ht="15" customHeight="1">
      <c r="C377" s="232"/>
      <c r="D377" s="232"/>
      <c r="E377" s="232"/>
      <c r="F377" s="1179"/>
    </row>
    <row r="378" spans="3:6" ht="15" customHeight="1">
      <c r="C378" s="232"/>
      <c r="D378" s="232"/>
      <c r="E378" s="232"/>
      <c r="F378" s="1179"/>
    </row>
    <row r="379" spans="3:6" ht="15" customHeight="1">
      <c r="C379" s="232"/>
      <c r="D379" s="232"/>
      <c r="E379" s="232"/>
      <c r="F379" s="1179"/>
    </row>
    <row r="380" spans="3:6" ht="15" customHeight="1">
      <c r="C380" s="232"/>
      <c r="D380" s="232"/>
      <c r="E380" s="232"/>
      <c r="F380" s="1179"/>
    </row>
    <row r="381" spans="3:6" ht="15" customHeight="1">
      <c r="C381" s="232"/>
      <c r="D381" s="232"/>
      <c r="E381" s="232"/>
      <c r="F381" s="1179"/>
    </row>
    <row r="382" spans="3:6" ht="15" customHeight="1">
      <c r="C382" s="232"/>
      <c r="D382" s="232"/>
      <c r="E382" s="232"/>
      <c r="F382" s="1179"/>
    </row>
    <row r="383" spans="3:6" ht="15" customHeight="1">
      <c r="C383" s="232"/>
      <c r="D383" s="232"/>
      <c r="E383" s="232"/>
      <c r="F383" s="1179"/>
    </row>
    <row r="384" spans="3:6" ht="15" customHeight="1">
      <c r="C384" s="232"/>
      <c r="D384" s="232"/>
      <c r="E384" s="232"/>
      <c r="F384" s="1179"/>
    </row>
    <row r="385" spans="3:6" ht="15" customHeight="1">
      <c r="C385" s="232"/>
      <c r="D385" s="232"/>
      <c r="E385" s="232"/>
      <c r="F385" s="1179"/>
    </row>
    <row r="386" spans="3:6" ht="15" customHeight="1">
      <c r="C386" s="232"/>
      <c r="D386" s="232"/>
      <c r="E386" s="232"/>
      <c r="F386" s="1179"/>
    </row>
    <row r="387" spans="3:6" ht="15" customHeight="1">
      <c r="C387" s="232"/>
      <c r="D387" s="232"/>
      <c r="E387" s="232"/>
      <c r="F387" s="1179"/>
    </row>
    <row r="388" spans="3:6" ht="15" customHeight="1">
      <c r="C388" s="232"/>
      <c r="D388" s="232"/>
      <c r="E388" s="232"/>
      <c r="F388" s="1179"/>
    </row>
    <row r="389" spans="3:6" ht="15" customHeight="1">
      <c r="C389" s="232"/>
      <c r="D389" s="232"/>
      <c r="E389" s="232"/>
      <c r="F389" s="1179"/>
    </row>
    <row r="390" spans="3:6" ht="15" customHeight="1">
      <c r="C390" s="232"/>
      <c r="D390" s="232"/>
      <c r="E390" s="232"/>
      <c r="F390" s="1179"/>
    </row>
    <row r="391" spans="3:6" ht="15" customHeight="1">
      <c r="C391" s="232"/>
      <c r="D391" s="232"/>
      <c r="E391" s="232"/>
      <c r="F391" s="1179"/>
    </row>
    <row r="392" spans="3:6" ht="15" customHeight="1">
      <c r="C392" s="232"/>
      <c r="D392" s="232"/>
      <c r="E392" s="232"/>
      <c r="F392" s="1179"/>
    </row>
    <row r="393" spans="3:6" ht="15" customHeight="1">
      <c r="C393" s="232"/>
      <c r="D393" s="232"/>
      <c r="E393" s="232"/>
      <c r="F393" s="1179"/>
    </row>
    <row r="394" spans="3:6" ht="15" customHeight="1">
      <c r="C394" s="232"/>
      <c r="D394" s="232"/>
      <c r="E394" s="232"/>
      <c r="F394" s="1179"/>
    </row>
    <row r="395" spans="3:6" ht="15" customHeight="1">
      <c r="C395" s="232"/>
      <c r="D395" s="232"/>
      <c r="E395" s="232"/>
      <c r="F395" s="1179"/>
    </row>
    <row r="396" spans="3:6" ht="15" customHeight="1">
      <c r="C396" s="232"/>
      <c r="D396" s="232"/>
      <c r="E396" s="232"/>
      <c r="F396" s="1179"/>
    </row>
    <row r="397" spans="3:6" ht="15" customHeight="1">
      <c r="C397" s="232"/>
      <c r="D397" s="232"/>
      <c r="E397" s="232"/>
      <c r="F397" s="1179"/>
    </row>
    <row r="398" spans="3:6" ht="15" customHeight="1">
      <c r="C398" s="232"/>
      <c r="D398" s="232"/>
      <c r="E398" s="232"/>
      <c r="F398" s="1179"/>
    </row>
    <row r="399" spans="3:6" ht="15" customHeight="1">
      <c r="C399" s="232"/>
      <c r="D399" s="232"/>
      <c r="E399" s="232"/>
      <c r="F399" s="1179"/>
    </row>
    <row r="400" spans="3:6" ht="15" customHeight="1">
      <c r="C400" s="232"/>
      <c r="D400" s="232"/>
      <c r="E400" s="232"/>
      <c r="F400" s="1179"/>
    </row>
    <row r="401" spans="3:6" ht="15" customHeight="1">
      <c r="C401" s="232"/>
      <c r="D401" s="232"/>
      <c r="E401" s="232"/>
      <c r="F401" s="1179"/>
    </row>
    <row r="402" spans="3:6" ht="15" customHeight="1">
      <c r="C402" s="232"/>
      <c r="D402" s="232"/>
      <c r="E402" s="232"/>
      <c r="F402" s="1179"/>
    </row>
    <row r="403" spans="3:6" ht="15" customHeight="1">
      <c r="C403" s="232"/>
      <c r="D403" s="232"/>
      <c r="E403" s="232"/>
      <c r="F403" s="1179"/>
    </row>
    <row r="404" spans="3:6" ht="15" customHeight="1">
      <c r="C404" s="232"/>
      <c r="D404" s="232"/>
      <c r="E404" s="232"/>
      <c r="F404" s="1179"/>
    </row>
    <row r="405" spans="3:6" ht="15" customHeight="1">
      <c r="C405" s="232"/>
      <c r="D405" s="232"/>
      <c r="E405" s="232"/>
      <c r="F405" s="1179"/>
    </row>
    <row r="406" spans="3:6" ht="15" customHeight="1">
      <c r="C406" s="232"/>
      <c r="D406" s="232"/>
      <c r="E406" s="232"/>
      <c r="F406" s="1179"/>
    </row>
    <row r="407" spans="3:6" ht="15" customHeight="1">
      <c r="C407" s="232"/>
      <c r="D407" s="232"/>
      <c r="E407" s="232"/>
      <c r="F407" s="1179"/>
    </row>
    <row r="408" spans="3:6" ht="15" customHeight="1">
      <c r="C408" s="232"/>
      <c r="D408" s="232"/>
      <c r="E408" s="232"/>
      <c r="F408" s="1179"/>
    </row>
    <row r="409" spans="3:6" ht="15" customHeight="1">
      <c r="C409" s="232"/>
      <c r="D409" s="232"/>
      <c r="E409" s="232"/>
      <c r="F409" s="1179"/>
    </row>
    <row r="410" spans="3:6" ht="15" customHeight="1">
      <c r="C410" s="232"/>
      <c r="D410" s="232"/>
      <c r="E410" s="232"/>
      <c r="F410" s="1179"/>
    </row>
    <row r="411" spans="3:6" ht="15" customHeight="1">
      <c r="C411" s="232"/>
      <c r="D411" s="232"/>
      <c r="E411" s="232"/>
      <c r="F411" s="1179"/>
    </row>
    <row r="412" spans="3:6" ht="15" customHeight="1">
      <c r="C412" s="232"/>
      <c r="D412" s="232"/>
      <c r="E412" s="232"/>
      <c r="F412" s="1179"/>
    </row>
    <row r="413" spans="3:6" ht="15" customHeight="1">
      <c r="C413" s="232"/>
      <c r="D413" s="232"/>
      <c r="E413" s="232"/>
      <c r="F413" s="1179"/>
    </row>
    <row r="414" spans="3:6" ht="15" customHeight="1">
      <c r="C414" s="232"/>
      <c r="D414" s="232"/>
      <c r="E414" s="232"/>
      <c r="F414" s="1179"/>
    </row>
    <row r="415" spans="3:6" ht="15" customHeight="1">
      <c r="C415" s="232"/>
      <c r="D415" s="232"/>
      <c r="E415" s="232"/>
      <c r="F415" s="1179"/>
    </row>
    <row r="416" spans="3:6" ht="15" customHeight="1">
      <c r="C416" s="232"/>
      <c r="D416" s="232"/>
      <c r="E416" s="232"/>
      <c r="F416" s="1179"/>
    </row>
    <row r="417" spans="3:6" ht="15" customHeight="1">
      <c r="C417" s="232"/>
      <c r="D417" s="232"/>
      <c r="E417" s="232"/>
      <c r="F417" s="1179"/>
    </row>
    <row r="418" spans="3:6" ht="15" customHeight="1">
      <c r="C418" s="232"/>
      <c r="D418" s="232"/>
      <c r="E418" s="232"/>
      <c r="F418" s="1179"/>
    </row>
    <row r="419" spans="3:6" ht="15" customHeight="1">
      <c r="C419" s="232"/>
      <c r="D419" s="232"/>
      <c r="E419" s="232"/>
      <c r="F419" s="1179"/>
    </row>
    <row r="420" spans="3:6" ht="15" customHeight="1">
      <c r="C420" s="232"/>
      <c r="D420" s="232"/>
      <c r="E420" s="232"/>
      <c r="F420" s="1179"/>
    </row>
    <row r="421" spans="3:6" ht="15" customHeight="1">
      <c r="C421" s="232"/>
      <c r="D421" s="232"/>
      <c r="E421" s="232"/>
      <c r="F421" s="1179"/>
    </row>
    <row r="422" spans="3:6" ht="15" customHeight="1">
      <c r="C422" s="232"/>
      <c r="D422" s="232"/>
      <c r="E422" s="232"/>
      <c r="F422" s="1179"/>
    </row>
    <row r="423" spans="3:6" ht="15" customHeight="1">
      <c r="C423" s="232"/>
      <c r="D423" s="232"/>
      <c r="E423" s="232"/>
      <c r="F423" s="1179"/>
    </row>
    <row r="424" spans="3:6" ht="15" customHeight="1">
      <c r="C424" s="232"/>
      <c r="D424" s="232"/>
      <c r="E424" s="232"/>
      <c r="F424" s="1179"/>
    </row>
    <row r="425" spans="3:6" ht="15" customHeight="1">
      <c r="C425" s="232"/>
      <c r="D425" s="232"/>
      <c r="E425" s="232"/>
      <c r="F425" s="1179"/>
    </row>
    <row r="426" spans="3:6" ht="15" customHeight="1">
      <c r="C426" s="232"/>
      <c r="D426" s="232"/>
      <c r="E426" s="232"/>
      <c r="F426" s="1179"/>
    </row>
    <row r="427" spans="3:6" ht="15" customHeight="1">
      <c r="C427" s="232"/>
      <c r="D427" s="232"/>
      <c r="E427" s="232"/>
      <c r="F427" s="1179"/>
    </row>
    <row r="428" spans="3:6" ht="15" customHeight="1">
      <c r="C428" s="232"/>
      <c r="D428" s="232"/>
      <c r="E428" s="232"/>
      <c r="F428" s="1179"/>
    </row>
    <row r="429" spans="3:6" ht="15" customHeight="1">
      <c r="C429" s="232"/>
      <c r="D429" s="232"/>
      <c r="E429" s="232"/>
      <c r="F429" s="1179"/>
    </row>
    <row r="430" spans="3:6" ht="15" customHeight="1">
      <c r="C430" s="232"/>
      <c r="D430" s="232"/>
      <c r="E430" s="232"/>
      <c r="F430" s="1179"/>
    </row>
    <row r="431" spans="3:6" ht="15" customHeight="1">
      <c r="C431" s="232"/>
      <c r="D431" s="232"/>
      <c r="E431" s="232"/>
      <c r="F431" s="1179"/>
    </row>
    <row r="432" spans="3:6" ht="15" customHeight="1">
      <c r="C432" s="232"/>
      <c r="D432" s="232"/>
      <c r="E432" s="232"/>
      <c r="F432" s="1179"/>
    </row>
    <row r="433" spans="3:6" ht="15" customHeight="1">
      <c r="C433" s="232"/>
      <c r="D433" s="232"/>
      <c r="E433" s="232"/>
      <c r="F433" s="1179"/>
    </row>
    <row r="434" spans="3:6" ht="15" customHeight="1">
      <c r="C434" s="232"/>
      <c r="D434" s="232"/>
      <c r="E434" s="232"/>
      <c r="F434" s="1179"/>
    </row>
    <row r="435" spans="3:6" ht="15" customHeight="1">
      <c r="C435" s="232"/>
      <c r="D435" s="232"/>
      <c r="E435" s="232"/>
      <c r="F435" s="1179"/>
    </row>
    <row r="436" spans="3:6" ht="15" customHeight="1">
      <c r="C436" s="232"/>
      <c r="D436" s="232"/>
      <c r="E436" s="232"/>
      <c r="F436" s="1179"/>
    </row>
    <row r="437" spans="3:6" ht="15" customHeight="1">
      <c r="C437" s="232"/>
      <c r="D437" s="232"/>
      <c r="E437" s="232"/>
      <c r="F437" s="1179"/>
    </row>
    <row r="438" spans="3:6" ht="15" customHeight="1">
      <c r="C438" s="232"/>
      <c r="D438" s="232"/>
      <c r="E438" s="232"/>
      <c r="F438" s="1179"/>
    </row>
    <row r="439" spans="3:6" ht="15" customHeight="1">
      <c r="C439" s="232"/>
      <c r="D439" s="232"/>
      <c r="E439" s="232"/>
      <c r="F439" s="1179"/>
    </row>
    <row r="440" spans="3:6" ht="15" customHeight="1">
      <c r="C440" s="232"/>
      <c r="D440" s="232"/>
      <c r="E440" s="232"/>
      <c r="F440" s="1179"/>
    </row>
    <row r="441" spans="3:6" ht="15" customHeight="1">
      <c r="C441" s="232"/>
      <c r="D441" s="232"/>
      <c r="E441" s="232"/>
      <c r="F441" s="1179"/>
    </row>
    <row r="442" spans="3:6" ht="15" customHeight="1">
      <c r="C442" s="232"/>
      <c r="D442" s="232"/>
      <c r="E442" s="232"/>
      <c r="F442" s="1179"/>
    </row>
    <row r="443" spans="3:6" ht="15" customHeight="1">
      <c r="C443" s="232"/>
      <c r="D443" s="232"/>
      <c r="E443" s="232"/>
      <c r="F443" s="1179"/>
    </row>
    <row r="444" spans="3:6" ht="15" customHeight="1">
      <c r="C444" s="232"/>
      <c r="D444" s="232"/>
      <c r="E444" s="232"/>
      <c r="F444" s="1179"/>
    </row>
    <row r="445" spans="3:6" ht="15" customHeight="1">
      <c r="C445" s="232"/>
      <c r="D445" s="232"/>
      <c r="E445" s="232"/>
      <c r="F445" s="1179"/>
    </row>
    <row r="446" spans="3:6" ht="15" customHeight="1">
      <c r="C446" s="232"/>
      <c r="D446" s="232"/>
      <c r="E446" s="232"/>
      <c r="F446" s="1179"/>
    </row>
    <row r="447" spans="3:6" ht="15" customHeight="1">
      <c r="C447" s="232"/>
      <c r="D447" s="232"/>
      <c r="E447" s="232"/>
      <c r="F447" s="1179"/>
    </row>
    <row r="448" spans="3:6" ht="15" customHeight="1">
      <c r="C448" s="232"/>
      <c r="D448" s="232"/>
      <c r="E448" s="232"/>
      <c r="F448" s="1179"/>
    </row>
    <row r="449" spans="3:6" ht="15" customHeight="1">
      <c r="C449" s="232"/>
      <c r="D449" s="232"/>
      <c r="E449" s="232"/>
      <c r="F449" s="1179"/>
    </row>
    <row r="450" spans="3:6" ht="15" customHeight="1">
      <c r="C450" s="232"/>
      <c r="D450" s="232"/>
      <c r="E450" s="232"/>
      <c r="F450" s="1179"/>
    </row>
    <row r="451" spans="3:6" ht="15" customHeight="1">
      <c r="C451" s="232"/>
      <c r="D451" s="232"/>
      <c r="E451" s="232"/>
      <c r="F451" s="1179"/>
    </row>
    <row r="452" spans="3:6" ht="15" customHeight="1">
      <c r="C452" s="232"/>
      <c r="D452" s="232"/>
      <c r="E452" s="232"/>
      <c r="F452" s="1179"/>
    </row>
    <row r="453" spans="3:6" ht="15" customHeight="1">
      <c r="C453" s="232"/>
      <c r="D453" s="232"/>
      <c r="E453" s="232"/>
      <c r="F453" s="1179"/>
    </row>
    <row r="454" spans="3:6" ht="15" customHeight="1">
      <c r="C454" s="232"/>
      <c r="D454" s="232"/>
      <c r="E454" s="232"/>
      <c r="F454" s="1179"/>
    </row>
    <row r="455" spans="3:6" ht="15" customHeight="1">
      <c r="C455" s="232"/>
      <c r="D455" s="232"/>
      <c r="E455" s="232"/>
      <c r="F455" s="1179"/>
    </row>
    <row r="456" spans="3:6" ht="15" customHeight="1">
      <c r="C456" s="232"/>
      <c r="D456" s="232"/>
      <c r="E456" s="232"/>
      <c r="F456" s="1179"/>
    </row>
    <row r="457" spans="3:6" ht="15" customHeight="1">
      <c r="C457" s="232"/>
      <c r="D457" s="232"/>
      <c r="E457" s="232"/>
      <c r="F457" s="1179"/>
    </row>
    <row r="458" spans="3:6" ht="15" customHeight="1">
      <c r="C458" s="232"/>
      <c r="D458" s="232"/>
      <c r="E458" s="232"/>
      <c r="F458" s="1179"/>
    </row>
    <row r="459" spans="3:6" ht="15" customHeight="1">
      <c r="C459" s="232"/>
      <c r="D459" s="232"/>
      <c r="E459" s="232"/>
      <c r="F459" s="1179"/>
    </row>
    <row r="460" spans="3:6" ht="15" customHeight="1">
      <c r="C460" s="232"/>
      <c r="D460" s="232"/>
      <c r="E460" s="232"/>
      <c r="F460" s="1179"/>
    </row>
    <row r="461" spans="3:6" ht="15" customHeight="1">
      <c r="C461" s="232"/>
      <c r="D461" s="232"/>
      <c r="E461" s="232"/>
      <c r="F461" s="1179"/>
    </row>
    <row r="462" spans="3:6" ht="15" customHeight="1">
      <c r="C462" s="232"/>
      <c r="D462" s="232"/>
      <c r="E462" s="232"/>
      <c r="F462" s="1179"/>
    </row>
    <row r="463" spans="3:6" ht="15" customHeight="1">
      <c r="C463" s="232"/>
      <c r="D463" s="232"/>
      <c r="E463" s="232"/>
      <c r="F463" s="1179"/>
    </row>
    <row r="464" spans="3:6" ht="15" customHeight="1">
      <c r="C464" s="232"/>
      <c r="D464" s="232"/>
      <c r="E464" s="232"/>
      <c r="F464" s="1179"/>
    </row>
    <row r="465" spans="3:6" ht="15" customHeight="1">
      <c r="C465" s="232"/>
      <c r="D465" s="232"/>
      <c r="E465" s="232"/>
      <c r="F465" s="1179"/>
    </row>
    <row r="466" spans="3:6" ht="15" customHeight="1">
      <c r="C466" s="232"/>
      <c r="D466" s="232"/>
      <c r="E466" s="232"/>
      <c r="F466" s="1179"/>
    </row>
    <row r="467" spans="3:6" ht="15" customHeight="1">
      <c r="C467" s="232"/>
      <c r="D467" s="232"/>
      <c r="E467" s="232"/>
      <c r="F467" s="1179"/>
    </row>
    <row r="468" spans="3:6" ht="15" customHeight="1">
      <c r="C468" s="232"/>
      <c r="D468" s="232"/>
      <c r="E468" s="232"/>
      <c r="F468" s="1179"/>
    </row>
    <row r="469" spans="3:6" ht="15" customHeight="1">
      <c r="C469" s="232"/>
      <c r="D469" s="232"/>
      <c r="E469" s="232"/>
      <c r="F469" s="1179"/>
    </row>
    <row r="470" spans="3:6" ht="15" customHeight="1">
      <c r="C470" s="232"/>
      <c r="D470" s="232"/>
      <c r="E470" s="232"/>
      <c r="F470" s="1179"/>
    </row>
    <row r="471" spans="3:6" ht="15" customHeight="1">
      <c r="C471" s="232"/>
      <c r="D471" s="232"/>
      <c r="E471" s="232"/>
      <c r="F471" s="1179"/>
    </row>
    <row r="472" spans="3:6" ht="15" customHeight="1">
      <c r="C472" s="232"/>
      <c r="D472" s="232"/>
      <c r="E472" s="232"/>
      <c r="F472" s="1179"/>
    </row>
    <row r="473" spans="3:6" ht="15" customHeight="1">
      <c r="C473" s="232"/>
      <c r="D473" s="232"/>
      <c r="E473" s="232"/>
      <c r="F473" s="1179"/>
    </row>
    <row r="474" spans="3:6" ht="15" customHeight="1">
      <c r="C474" s="232"/>
      <c r="D474" s="232"/>
      <c r="E474" s="232"/>
      <c r="F474" s="1179"/>
    </row>
    <row r="475" spans="3:6" ht="15" customHeight="1">
      <c r="C475" s="232"/>
      <c r="D475" s="232"/>
      <c r="E475" s="232"/>
      <c r="F475" s="1179"/>
    </row>
    <row r="476" spans="3:6" ht="15" customHeight="1">
      <c r="C476" s="232"/>
      <c r="D476" s="232"/>
      <c r="E476" s="232"/>
      <c r="F476" s="1179"/>
    </row>
    <row r="477" spans="3:6" ht="15" customHeight="1">
      <c r="C477" s="232"/>
      <c r="D477" s="232"/>
      <c r="E477" s="232"/>
      <c r="F477" s="1179"/>
    </row>
    <row r="478" spans="3:6" ht="15" customHeight="1">
      <c r="C478" s="232"/>
      <c r="D478" s="232"/>
      <c r="E478" s="232"/>
      <c r="F478" s="1179"/>
    </row>
    <row r="479" spans="3:6" ht="15" customHeight="1">
      <c r="C479" s="232"/>
      <c r="D479" s="232"/>
      <c r="E479" s="232"/>
      <c r="F479" s="1179"/>
    </row>
    <row r="480" spans="3:6" ht="15" customHeight="1">
      <c r="C480" s="232"/>
      <c r="D480" s="232"/>
      <c r="E480" s="232"/>
      <c r="F480" s="1179"/>
    </row>
    <row r="481" spans="3:6" ht="15" customHeight="1">
      <c r="C481" s="232"/>
      <c r="D481" s="232"/>
      <c r="E481" s="232"/>
      <c r="F481" s="1179"/>
    </row>
    <row r="482" spans="3:6" ht="15" customHeight="1">
      <c r="C482" s="232"/>
      <c r="D482" s="232"/>
      <c r="E482" s="232"/>
      <c r="F482" s="1179"/>
    </row>
    <row r="483" spans="3:6" ht="15" customHeight="1">
      <c r="C483" s="232"/>
      <c r="D483" s="232"/>
      <c r="E483" s="232"/>
      <c r="F483" s="1179"/>
    </row>
    <row r="484" spans="3:6" ht="15" customHeight="1">
      <c r="C484" s="232"/>
      <c r="D484" s="232"/>
      <c r="E484" s="232"/>
      <c r="F484" s="1179"/>
    </row>
    <row r="485" spans="3:6" ht="15" customHeight="1">
      <c r="C485" s="232"/>
      <c r="D485" s="232"/>
      <c r="E485" s="232"/>
      <c r="F485" s="1179"/>
    </row>
    <row r="486" spans="3:6" ht="15" customHeight="1">
      <c r="C486" s="232"/>
      <c r="D486" s="232"/>
      <c r="E486" s="232"/>
      <c r="F486" s="1179"/>
    </row>
    <row r="487" spans="3:6" ht="15" customHeight="1">
      <c r="C487" s="232"/>
      <c r="D487" s="232"/>
      <c r="E487" s="232"/>
      <c r="F487" s="1179"/>
    </row>
    <row r="488" spans="3:6" ht="15" customHeight="1">
      <c r="C488" s="232"/>
      <c r="D488" s="232"/>
      <c r="E488" s="232"/>
      <c r="F488" s="1179"/>
    </row>
    <row r="489" spans="3:6" ht="15" customHeight="1">
      <c r="C489" s="232"/>
      <c r="D489" s="232"/>
      <c r="E489" s="232"/>
      <c r="F489" s="1179"/>
    </row>
    <row r="490" spans="3:6" ht="15" customHeight="1">
      <c r="C490" s="232"/>
      <c r="D490" s="232"/>
      <c r="E490" s="232"/>
      <c r="F490" s="1179"/>
    </row>
    <row r="491" spans="3:6" ht="15" customHeight="1">
      <c r="C491" s="232"/>
      <c r="D491" s="232"/>
      <c r="E491" s="232"/>
      <c r="F491" s="1179"/>
    </row>
    <row r="492" spans="3:6" ht="15" customHeight="1">
      <c r="C492" s="232"/>
      <c r="D492" s="232"/>
      <c r="E492" s="232"/>
      <c r="F492" s="1179"/>
    </row>
    <row r="493" spans="3:6" ht="15" customHeight="1">
      <c r="C493" s="232"/>
      <c r="D493" s="232"/>
      <c r="E493" s="232"/>
      <c r="F493" s="1179"/>
    </row>
    <row r="494" spans="3:6" ht="15" customHeight="1">
      <c r="C494" s="232"/>
      <c r="D494" s="232"/>
      <c r="E494" s="232"/>
      <c r="F494" s="1179"/>
    </row>
    <row r="495" spans="3:6" ht="15" customHeight="1">
      <c r="C495" s="232"/>
      <c r="D495" s="232"/>
      <c r="E495" s="232"/>
      <c r="F495" s="1179"/>
    </row>
    <row r="496" spans="3:6" ht="15" customHeight="1">
      <c r="C496" s="232"/>
      <c r="D496" s="232"/>
      <c r="E496" s="232"/>
      <c r="F496" s="1179"/>
    </row>
    <row r="497" spans="3:6" ht="15" customHeight="1">
      <c r="C497" s="232"/>
      <c r="D497" s="232"/>
      <c r="E497" s="232"/>
      <c r="F497" s="1179"/>
    </row>
    <row r="498" spans="3:6" ht="15" customHeight="1">
      <c r="C498" s="232"/>
      <c r="D498" s="232"/>
      <c r="E498" s="232"/>
      <c r="F498" s="1179"/>
    </row>
    <row r="499" spans="3:6" ht="15" customHeight="1">
      <c r="C499" s="232"/>
      <c r="D499" s="232"/>
      <c r="E499" s="232"/>
      <c r="F499" s="1179"/>
    </row>
    <row r="500" spans="3:6" ht="15" customHeight="1">
      <c r="C500" s="232"/>
      <c r="D500" s="232"/>
      <c r="E500" s="232"/>
      <c r="F500" s="1179"/>
    </row>
    <row r="501" spans="3:6" ht="15" customHeight="1">
      <c r="C501" s="232"/>
      <c r="D501" s="232"/>
      <c r="E501" s="232"/>
      <c r="F501" s="1179"/>
    </row>
    <row r="502" spans="3:6" ht="15" customHeight="1">
      <c r="C502" s="232"/>
      <c r="D502" s="232"/>
      <c r="E502" s="232"/>
      <c r="F502" s="1179"/>
    </row>
    <row r="503" spans="3:6" ht="15" customHeight="1">
      <c r="C503" s="232"/>
      <c r="D503" s="232"/>
      <c r="E503" s="232"/>
      <c r="F503" s="1179"/>
    </row>
    <row r="504" spans="3:6" ht="15" customHeight="1">
      <c r="C504" s="232"/>
      <c r="D504" s="232"/>
      <c r="E504" s="232"/>
      <c r="F504" s="1179"/>
    </row>
    <row r="505" spans="3:6" ht="15" customHeight="1">
      <c r="C505" s="232"/>
      <c r="D505" s="232"/>
      <c r="E505" s="232"/>
      <c r="F505" s="1179"/>
    </row>
    <row r="506" spans="3:6" ht="15" customHeight="1">
      <c r="C506" s="232"/>
      <c r="D506" s="232"/>
      <c r="E506" s="232"/>
      <c r="F506" s="1179"/>
    </row>
    <row r="507" spans="3:6" ht="15" customHeight="1">
      <c r="C507" s="232"/>
      <c r="D507" s="232"/>
      <c r="E507" s="232"/>
      <c r="F507" s="1179"/>
    </row>
    <row r="508" spans="3:6" ht="15" customHeight="1">
      <c r="C508" s="232"/>
      <c r="D508" s="232"/>
      <c r="E508" s="232"/>
      <c r="F508" s="1179"/>
    </row>
    <row r="509" spans="3:6" ht="15" customHeight="1">
      <c r="C509" s="232"/>
      <c r="D509" s="232"/>
      <c r="E509" s="232"/>
      <c r="F509" s="1179"/>
    </row>
    <row r="510" spans="3:6" ht="15" customHeight="1">
      <c r="C510" s="232"/>
      <c r="D510" s="232"/>
      <c r="E510" s="232"/>
      <c r="F510" s="1179"/>
    </row>
    <row r="511" spans="3:6" ht="15" customHeight="1">
      <c r="C511" s="232"/>
      <c r="D511" s="232"/>
      <c r="E511" s="232"/>
      <c r="F511" s="1179"/>
    </row>
    <row r="512" spans="3:6" ht="15" customHeight="1">
      <c r="C512" s="232"/>
      <c r="D512" s="232"/>
      <c r="E512" s="232"/>
      <c r="F512" s="1179"/>
    </row>
    <row r="513" spans="3:6" ht="15" customHeight="1">
      <c r="C513" s="232"/>
      <c r="D513" s="232"/>
      <c r="E513" s="232"/>
      <c r="F513" s="1179"/>
    </row>
    <row r="514" spans="3:6" ht="15" customHeight="1">
      <c r="C514" s="232"/>
      <c r="D514" s="232"/>
      <c r="E514" s="232"/>
      <c r="F514" s="1179"/>
    </row>
    <row r="515" spans="3:6" ht="15" customHeight="1">
      <c r="C515" s="232"/>
      <c r="D515" s="232"/>
      <c r="E515" s="232"/>
      <c r="F515" s="1179"/>
    </row>
    <row r="516" spans="3:6" ht="15" customHeight="1">
      <c r="C516" s="232"/>
      <c r="D516" s="232"/>
      <c r="E516" s="232"/>
      <c r="F516" s="1179"/>
    </row>
    <row r="517" spans="3:6" ht="15" customHeight="1">
      <c r="C517" s="232"/>
      <c r="D517" s="232"/>
      <c r="E517" s="232"/>
      <c r="F517" s="1179"/>
    </row>
    <row r="518" spans="3:6" ht="15" customHeight="1">
      <c r="C518" s="232"/>
      <c r="D518" s="232"/>
      <c r="E518" s="232"/>
      <c r="F518" s="1179"/>
    </row>
    <row r="519" spans="3:6" ht="15" customHeight="1">
      <c r="C519" s="232"/>
      <c r="D519" s="232"/>
      <c r="E519" s="232"/>
      <c r="F519" s="1179"/>
    </row>
    <row r="520" spans="3:6" ht="15" customHeight="1">
      <c r="C520" s="232"/>
      <c r="D520" s="232"/>
      <c r="E520" s="232"/>
      <c r="F520" s="1179"/>
    </row>
    <row r="521" spans="3:6" ht="15" customHeight="1">
      <c r="C521" s="232"/>
      <c r="D521" s="232"/>
      <c r="E521" s="232"/>
      <c r="F521" s="1179"/>
    </row>
    <row r="522" spans="3:6" ht="15" customHeight="1">
      <c r="C522" s="232"/>
      <c r="D522" s="232"/>
      <c r="E522" s="232"/>
      <c r="F522" s="1179"/>
    </row>
    <row r="523" spans="3:6" ht="15" customHeight="1">
      <c r="C523" s="232"/>
      <c r="D523" s="232"/>
      <c r="E523" s="232"/>
      <c r="F523" s="1179"/>
    </row>
    <row r="524" spans="3:6" ht="15" customHeight="1">
      <c r="C524" s="232"/>
      <c r="D524" s="232"/>
      <c r="E524" s="232"/>
      <c r="F524" s="1179"/>
    </row>
    <row r="525" spans="3:6" ht="15" customHeight="1">
      <c r="C525" s="232"/>
      <c r="D525" s="232"/>
      <c r="E525" s="232"/>
      <c r="F525" s="1179"/>
    </row>
    <row r="526" spans="3:6" ht="15" customHeight="1">
      <c r="C526" s="232"/>
      <c r="D526" s="232"/>
      <c r="E526" s="232"/>
      <c r="F526" s="1179"/>
    </row>
    <row r="527" spans="3:6" ht="15" customHeight="1">
      <c r="C527" s="232"/>
      <c r="D527" s="232"/>
      <c r="E527" s="232"/>
      <c r="F527" s="1179"/>
    </row>
    <row r="528" spans="3:6" ht="15" customHeight="1">
      <c r="C528" s="232"/>
      <c r="D528" s="232"/>
      <c r="E528" s="232"/>
      <c r="F528" s="1179"/>
    </row>
    <row r="529" spans="3:6" ht="15" customHeight="1">
      <c r="C529" s="232"/>
      <c r="D529" s="232"/>
      <c r="E529" s="232"/>
      <c r="F529" s="1179"/>
    </row>
    <row r="530" spans="3:6" ht="15" customHeight="1">
      <c r="C530" s="232"/>
      <c r="D530" s="232"/>
      <c r="E530" s="232"/>
      <c r="F530" s="1179"/>
    </row>
    <row r="531" spans="3:6" ht="15" customHeight="1">
      <c r="C531" s="232"/>
      <c r="D531" s="232"/>
      <c r="E531" s="232"/>
      <c r="F531" s="1179"/>
    </row>
    <row r="532" spans="3:6" ht="15" customHeight="1">
      <c r="C532" s="232"/>
      <c r="D532" s="232"/>
      <c r="E532" s="232"/>
      <c r="F532" s="1179"/>
    </row>
    <row r="533" spans="3:6" ht="15" customHeight="1">
      <c r="C533" s="232"/>
      <c r="D533" s="232"/>
      <c r="E533" s="232"/>
      <c r="F533" s="1179"/>
    </row>
    <row r="534" spans="3:6" ht="15" customHeight="1">
      <c r="C534" s="232"/>
      <c r="D534" s="232"/>
      <c r="E534" s="232"/>
      <c r="F534" s="1179"/>
    </row>
    <row r="535" spans="3:6" ht="15" customHeight="1">
      <c r="C535" s="232"/>
      <c r="D535" s="232"/>
      <c r="E535" s="232"/>
      <c r="F535" s="1179"/>
    </row>
    <row r="536" spans="3:6" ht="15" customHeight="1">
      <c r="C536" s="232"/>
      <c r="D536" s="232"/>
      <c r="E536" s="232"/>
      <c r="F536" s="1179"/>
    </row>
    <row r="537" spans="3:6" ht="15" customHeight="1">
      <c r="C537" s="232"/>
      <c r="D537" s="232"/>
      <c r="E537" s="232"/>
      <c r="F537" s="1179"/>
    </row>
    <row r="538" spans="3:6" ht="15" customHeight="1">
      <c r="C538" s="232"/>
      <c r="D538" s="232"/>
      <c r="E538" s="232"/>
      <c r="F538" s="1179"/>
    </row>
    <row r="539" spans="3:6" ht="15" customHeight="1">
      <c r="C539" s="232"/>
      <c r="D539" s="232"/>
      <c r="E539" s="232"/>
      <c r="F539" s="1179"/>
    </row>
    <row r="540" spans="3:6" ht="15" customHeight="1">
      <c r="C540" s="232"/>
      <c r="D540" s="232"/>
      <c r="E540" s="232"/>
      <c r="F540" s="1179"/>
    </row>
    <row r="541" spans="3:6" ht="15" customHeight="1">
      <c r="C541" s="232"/>
      <c r="D541" s="232"/>
      <c r="E541" s="232"/>
      <c r="F541" s="1179"/>
    </row>
    <row r="542" spans="3:6" ht="15" customHeight="1">
      <c r="C542" s="232"/>
      <c r="D542" s="232"/>
      <c r="E542" s="232"/>
      <c r="F542" s="1179"/>
    </row>
    <row r="543" spans="3:6" ht="15" customHeight="1">
      <c r="C543" s="232"/>
      <c r="D543" s="232"/>
      <c r="E543" s="232"/>
      <c r="F543" s="1179"/>
    </row>
    <row r="544" spans="3:6" ht="15" customHeight="1">
      <c r="C544" s="232"/>
      <c r="D544" s="232"/>
      <c r="E544" s="232"/>
      <c r="F544" s="1179"/>
    </row>
    <row r="545" spans="3:6" ht="15" customHeight="1">
      <c r="C545" s="232"/>
      <c r="D545" s="232"/>
      <c r="E545" s="232"/>
      <c r="F545" s="1179"/>
    </row>
    <row r="546" spans="3:6" ht="15" customHeight="1">
      <c r="C546" s="232"/>
      <c r="D546" s="232"/>
      <c r="E546" s="232"/>
      <c r="F546" s="1179"/>
    </row>
    <row r="547" spans="3:6" ht="15" customHeight="1">
      <c r="C547" s="232"/>
      <c r="D547" s="232"/>
      <c r="E547" s="232"/>
      <c r="F547" s="1179"/>
    </row>
    <row r="548" spans="3:6" ht="15" customHeight="1">
      <c r="C548" s="232"/>
      <c r="D548" s="232"/>
      <c r="E548" s="232"/>
      <c r="F548" s="1179"/>
    </row>
    <row r="549" spans="3:6" ht="15" customHeight="1">
      <c r="C549" s="232"/>
      <c r="D549" s="232"/>
      <c r="E549" s="232"/>
      <c r="F549" s="1179"/>
    </row>
    <row r="550" spans="3:6" ht="15" customHeight="1">
      <c r="C550" s="232"/>
      <c r="D550" s="232"/>
      <c r="E550" s="232"/>
      <c r="F550" s="1179"/>
    </row>
    <row r="551" spans="3:6" ht="15" customHeight="1">
      <c r="C551" s="232"/>
      <c r="D551" s="232"/>
      <c r="E551" s="232"/>
      <c r="F551" s="1179"/>
    </row>
    <row r="552" spans="3:6" ht="15" customHeight="1">
      <c r="C552" s="232"/>
      <c r="D552" s="232"/>
      <c r="E552" s="232"/>
      <c r="F552" s="1179"/>
    </row>
    <row r="553" spans="3:6" ht="15" customHeight="1">
      <c r="C553" s="232"/>
      <c r="D553" s="232"/>
      <c r="E553" s="232"/>
      <c r="F553" s="1179"/>
    </row>
    <row r="554" spans="3:6" ht="15" customHeight="1">
      <c r="C554" s="232"/>
      <c r="D554" s="232"/>
      <c r="E554" s="232"/>
      <c r="F554" s="1179"/>
    </row>
    <row r="555" spans="3:6" ht="15" customHeight="1">
      <c r="C555" s="232"/>
      <c r="D555" s="232"/>
      <c r="E555" s="232"/>
      <c r="F555" s="1179"/>
    </row>
    <row r="556" spans="3:6" ht="15" customHeight="1">
      <c r="C556" s="232"/>
      <c r="D556" s="232"/>
      <c r="E556" s="232"/>
      <c r="F556" s="1179"/>
    </row>
    <row r="557" spans="3:6" ht="15" customHeight="1">
      <c r="C557" s="232"/>
      <c r="D557" s="232"/>
      <c r="E557" s="232"/>
      <c r="F557" s="1179"/>
    </row>
    <row r="558" spans="3:6" ht="15" customHeight="1">
      <c r="C558" s="232"/>
      <c r="D558" s="232"/>
      <c r="E558" s="232"/>
      <c r="F558" s="1179"/>
    </row>
    <row r="559" spans="3:6" ht="15" customHeight="1">
      <c r="C559" s="232"/>
      <c r="D559" s="232"/>
      <c r="E559" s="232"/>
      <c r="F559" s="1179"/>
    </row>
  </sheetData>
  <sheetProtection sheet="1"/>
  <mergeCells count="7">
    <mergeCell ref="A1:S1"/>
    <mergeCell ref="A4:B5"/>
    <mergeCell ref="C4:D5"/>
    <mergeCell ref="E4:I5"/>
    <mergeCell ref="K4:Q4"/>
    <mergeCell ref="K5:L5"/>
    <mergeCell ref="M5:Q5"/>
  </mergeCells>
  <conditionalFormatting sqref="E7:E307">
    <cfRule type="expression" priority="1" dxfId="19" stopIfTrue="1">
      <formula>E7&lt;$M$7</formula>
    </cfRule>
  </conditionalFormatting>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SteveSconfienza</cp:lastModifiedBy>
  <dcterms:created xsi:type="dcterms:W3CDTF">2010-06-02T13:41:56Z</dcterms:created>
  <dcterms:modified xsi:type="dcterms:W3CDTF">2011-04-25T18:52:11Z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